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4400" windowHeight="6450"/>
  </bookViews>
  <sheets>
    <sheet name="1.sz.tábla " sheetId="42" r:id="rId1"/>
    <sheet name="2.sz.tábla" sheetId="41" r:id="rId2"/>
    <sheet name="2a. tábla" sheetId="82" r:id="rId3"/>
    <sheet name="3.sz.tábla " sheetId="40" r:id="rId4"/>
    <sheet name="4.sz.tábla" sheetId="83" r:id="rId5"/>
    <sheet name="5. sz. tábla" sheetId="50" r:id="rId6"/>
    <sheet name="6. sz. tábla " sheetId="51" r:id="rId7"/>
    <sheet name="7. sz. tábla" sheetId="62" r:id="rId8"/>
    <sheet name="8.sz.tábla" sheetId="67" r:id="rId9"/>
    <sheet name="Munka1" sheetId="85" r:id="rId10"/>
  </sheets>
  <externalReferences>
    <externalReference r:id="rId11"/>
  </externalReferences>
  <definedNames>
    <definedName name="_xlnm.Print_Titles" localSheetId="1">'2.sz.tábla'!$4:$4</definedName>
    <definedName name="_xlnm.Print_Area" localSheetId="0">'1.sz.tábla '!$A$3:$E$34</definedName>
    <definedName name="_xlnm.Print_Area" localSheetId="1">'2.sz.tábla'!$A$4:$E$79</definedName>
    <definedName name="_xlnm.Print_Area" localSheetId="3">'3.sz.tábla '!$A$4:$E$36</definedName>
    <definedName name="_xlnm.Print_Area" localSheetId="5">'5. sz. tábla'!$A$1:$E$36</definedName>
    <definedName name="_xlnm.Print_Area" localSheetId="6">'6. sz. tábla '!$A$1:$J$59</definedName>
    <definedName name="_xlnm.Print_Area" localSheetId="7">'7. sz. tábla'!$A$1:$J$83</definedName>
    <definedName name="_xlnm.Print_Area" localSheetId="8">'8.sz.tábla'!$A$3:$N$36</definedName>
    <definedName name="onev">[1]kod!$BT$34:$BT$3186</definedName>
  </definedNames>
  <calcPr calcId="145621"/>
</workbook>
</file>

<file path=xl/calcChain.xml><?xml version="1.0" encoding="utf-8"?>
<calcChain xmlns="http://schemas.openxmlformats.org/spreadsheetml/2006/main">
  <c r="D14" i="50" l="1"/>
  <c r="E21" i="50"/>
  <c r="D28" i="50"/>
  <c r="I28" i="67" l="1"/>
  <c r="D20" i="50"/>
  <c r="I7" i="67" l="1"/>
  <c r="J33" i="67" l="1"/>
  <c r="K33" i="67"/>
  <c r="L33" i="67"/>
  <c r="M33" i="67"/>
  <c r="I33" i="67"/>
  <c r="I29" i="67"/>
  <c r="J29" i="67"/>
  <c r="K29" i="67"/>
  <c r="L29" i="67"/>
  <c r="M29" i="67"/>
  <c r="H29" i="67"/>
  <c r="J28" i="67"/>
  <c r="K28" i="67"/>
  <c r="L28" i="67"/>
  <c r="M28" i="67"/>
  <c r="H28" i="67"/>
  <c r="J25" i="67"/>
  <c r="K25" i="67"/>
  <c r="L25" i="67"/>
  <c r="M25" i="67"/>
  <c r="I25" i="67"/>
  <c r="J23" i="67"/>
  <c r="K23" i="67"/>
  <c r="L23" i="67"/>
  <c r="M23" i="67"/>
  <c r="I23" i="67"/>
  <c r="J22" i="67"/>
  <c r="K22" i="67"/>
  <c r="L22" i="67"/>
  <c r="M22" i="67"/>
  <c r="I22" i="67"/>
  <c r="J21" i="67"/>
  <c r="K21" i="67"/>
  <c r="L21" i="67"/>
  <c r="M21" i="67"/>
  <c r="I21" i="67"/>
  <c r="J20" i="67"/>
  <c r="K20" i="67"/>
  <c r="L20" i="67"/>
  <c r="M20" i="67"/>
  <c r="I20" i="67"/>
  <c r="J17" i="67"/>
  <c r="K17" i="67"/>
  <c r="L17" i="67"/>
  <c r="M17" i="67"/>
  <c r="I17" i="67"/>
  <c r="I12" i="67"/>
  <c r="I9" i="67"/>
  <c r="H8" i="67"/>
  <c r="I8" i="67"/>
  <c r="J8" i="67"/>
  <c r="K8" i="67"/>
  <c r="L8" i="67"/>
  <c r="M8" i="67"/>
  <c r="G8" i="67"/>
  <c r="J7" i="67"/>
  <c r="K7" i="67"/>
  <c r="L7" i="67"/>
  <c r="M7" i="67"/>
  <c r="D17" i="41"/>
  <c r="D27" i="42" l="1"/>
  <c r="D74" i="41"/>
  <c r="D19" i="41"/>
  <c r="D10" i="41"/>
  <c r="D16" i="41"/>
  <c r="H49" i="82"/>
  <c r="G49" i="82" l="1"/>
  <c r="G5" i="82"/>
  <c r="C31" i="40"/>
  <c r="D31" i="40"/>
  <c r="B31" i="40"/>
  <c r="D23" i="40"/>
  <c r="D19" i="40"/>
  <c r="D13" i="40"/>
  <c r="D7" i="40"/>
  <c r="D6" i="40"/>
  <c r="D12" i="83"/>
  <c r="D4" i="83"/>
  <c r="D35" i="50"/>
  <c r="E19" i="50"/>
  <c r="E5" i="50"/>
  <c r="D24" i="50"/>
  <c r="C24" i="50"/>
  <c r="D29" i="50"/>
  <c r="D3" i="50"/>
  <c r="D6" i="50"/>
  <c r="C6" i="50"/>
  <c r="C10" i="50"/>
  <c r="E4" i="50"/>
  <c r="O23" i="67" l="1"/>
  <c r="O21" i="67"/>
  <c r="O20" i="67"/>
  <c r="I56" i="62"/>
  <c r="I54" i="62"/>
  <c r="I42" i="62"/>
  <c r="I44" i="62" s="1"/>
  <c r="J41" i="62"/>
  <c r="J43" i="62"/>
  <c r="J45" i="62"/>
  <c r="J46" i="62"/>
  <c r="J47" i="62"/>
  <c r="J48" i="62"/>
  <c r="J49" i="62"/>
  <c r="J50" i="62"/>
  <c r="J51" i="62"/>
  <c r="J52" i="62"/>
  <c r="J53" i="62"/>
  <c r="J55" i="62"/>
  <c r="J40" i="62"/>
  <c r="I26" i="62"/>
  <c r="I12" i="62"/>
  <c r="I9" i="62"/>
  <c r="I7" i="62"/>
  <c r="J17" i="62"/>
  <c r="J19" i="62"/>
  <c r="J22" i="62"/>
  <c r="J23" i="62"/>
  <c r="J24" i="62"/>
  <c r="D7" i="62"/>
  <c r="E8" i="62"/>
  <c r="E9" i="62"/>
  <c r="E10" i="62"/>
  <c r="E11" i="62"/>
  <c r="E12" i="62"/>
  <c r="E13" i="62"/>
  <c r="E17" i="62"/>
  <c r="E21" i="62"/>
  <c r="E22" i="62"/>
  <c r="E23" i="62"/>
  <c r="E24" i="62"/>
  <c r="I55" i="51"/>
  <c r="J55" i="51"/>
  <c r="J56" i="51"/>
  <c r="J57" i="51"/>
  <c r="J58" i="51"/>
  <c r="D58" i="51"/>
  <c r="E52" i="51"/>
  <c r="E58" i="51"/>
  <c r="I38" i="51"/>
  <c r="I33" i="51"/>
  <c r="I31" i="51" s="1"/>
  <c r="J29" i="51"/>
  <c r="J32" i="51"/>
  <c r="J34" i="51"/>
  <c r="J35" i="51"/>
  <c r="J38" i="51"/>
  <c r="J39" i="51"/>
  <c r="J40" i="51"/>
  <c r="J41" i="51"/>
  <c r="J42" i="51"/>
  <c r="D40" i="51"/>
  <c r="E40" i="51" s="1"/>
  <c r="D39" i="51"/>
  <c r="D38" i="51" s="1"/>
  <c r="D30" i="51"/>
  <c r="D20" i="62" s="1"/>
  <c r="E31" i="51"/>
  <c r="E32" i="51"/>
  <c r="E33" i="51"/>
  <c r="E34" i="51"/>
  <c r="E35" i="51"/>
  <c r="E37" i="51"/>
  <c r="E41" i="51"/>
  <c r="E42" i="51"/>
  <c r="I18" i="51"/>
  <c r="I17" i="51" s="1"/>
  <c r="I54" i="51" s="1"/>
  <c r="I8" i="51"/>
  <c r="I6" i="51"/>
  <c r="I5" i="62" s="1"/>
  <c r="I5" i="51"/>
  <c r="I4" i="62" s="1"/>
  <c r="J10" i="51"/>
  <c r="J13" i="51"/>
  <c r="J19" i="51"/>
  <c r="J20" i="51"/>
  <c r="J21" i="51"/>
  <c r="J22" i="51"/>
  <c r="D22" i="51"/>
  <c r="D20" i="51"/>
  <c r="D18" i="51"/>
  <c r="D17" i="51" s="1"/>
  <c r="D54" i="51" s="1"/>
  <c r="E8" i="51"/>
  <c r="E9" i="51"/>
  <c r="E10" i="51"/>
  <c r="E11" i="51"/>
  <c r="E12" i="51"/>
  <c r="E13" i="51"/>
  <c r="E14" i="51"/>
  <c r="E16" i="51"/>
  <c r="E21" i="51"/>
  <c r="D32" i="42"/>
  <c r="D31" i="42"/>
  <c r="D30" i="42"/>
  <c r="D33" i="42" s="1"/>
  <c r="D25" i="42"/>
  <c r="E25" i="42" s="1"/>
  <c r="D11" i="42"/>
  <c r="O13" i="67" s="1"/>
  <c r="D10" i="42"/>
  <c r="O10" i="67" s="1"/>
  <c r="E17" i="42"/>
  <c r="E24" i="42"/>
  <c r="E26" i="42"/>
  <c r="E27" i="42"/>
  <c r="E28" i="42"/>
  <c r="D72" i="41"/>
  <c r="D67" i="41"/>
  <c r="D13" i="42" s="1"/>
  <c r="O18" i="67" s="1"/>
  <c r="D53" i="41"/>
  <c r="D29" i="51" s="1"/>
  <c r="D19" i="62" s="1"/>
  <c r="D41" i="41"/>
  <c r="D8" i="42" s="1"/>
  <c r="O8" i="67" s="1"/>
  <c r="D36" i="41"/>
  <c r="D33" i="41"/>
  <c r="D29" i="41"/>
  <c r="D20" i="41"/>
  <c r="D6" i="42" s="1"/>
  <c r="D18" i="62" s="1"/>
  <c r="D25" i="62" s="1"/>
  <c r="D9" i="41"/>
  <c r="D8" i="41"/>
  <c r="D7" i="41"/>
  <c r="E10" i="41"/>
  <c r="E11" i="41"/>
  <c r="E12" i="41"/>
  <c r="E13" i="41"/>
  <c r="E14" i="41"/>
  <c r="E15" i="41"/>
  <c r="E17" i="41"/>
  <c r="E21" i="41"/>
  <c r="E22" i="41"/>
  <c r="E24" i="41"/>
  <c r="E25" i="41"/>
  <c r="E26" i="41"/>
  <c r="E27" i="41"/>
  <c r="E30" i="41"/>
  <c r="E31" i="41"/>
  <c r="E34" i="41"/>
  <c r="E35" i="41"/>
  <c r="E37" i="41"/>
  <c r="E38" i="41"/>
  <c r="E39" i="41"/>
  <c r="E40" i="41"/>
  <c r="E42" i="41"/>
  <c r="E43" i="41"/>
  <c r="E44" i="41"/>
  <c r="E45" i="41"/>
  <c r="E46" i="41"/>
  <c r="E47" i="41"/>
  <c r="E48" i="41"/>
  <c r="E49" i="41"/>
  <c r="E50" i="41"/>
  <c r="E51" i="41"/>
  <c r="E52" i="41"/>
  <c r="E54" i="41"/>
  <c r="E55" i="41"/>
  <c r="E56" i="41"/>
  <c r="E57" i="41"/>
  <c r="E59" i="41"/>
  <c r="E60" i="41"/>
  <c r="E61" i="41"/>
  <c r="E62" i="41"/>
  <c r="E63" i="41"/>
  <c r="E64" i="41"/>
  <c r="E65" i="41"/>
  <c r="E68" i="41"/>
  <c r="E69" i="41"/>
  <c r="E70" i="41"/>
  <c r="E71" i="41"/>
  <c r="E73" i="41"/>
  <c r="E74" i="41"/>
  <c r="E75" i="41"/>
  <c r="E78" i="41"/>
  <c r="E79" i="41"/>
  <c r="G44" i="82"/>
  <c r="G38" i="82"/>
  <c r="G35" i="82"/>
  <c r="G25" i="82"/>
  <c r="G22" i="82"/>
  <c r="G19" i="82"/>
  <c r="G10" i="82"/>
  <c r="G8" i="82"/>
  <c r="G7" i="82" s="1"/>
  <c r="D24" i="40"/>
  <c r="E24" i="40" s="1"/>
  <c r="D8" i="40"/>
  <c r="O22" i="67" s="1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5" i="40"/>
  <c r="E28" i="40"/>
  <c r="E29" i="40"/>
  <c r="E30" i="40"/>
  <c r="E31" i="40"/>
  <c r="E32" i="40"/>
  <c r="E33" i="40"/>
  <c r="E35" i="40"/>
  <c r="E6" i="40"/>
  <c r="D9" i="83"/>
  <c r="E9" i="83" s="1"/>
  <c r="D3" i="83"/>
  <c r="E27" i="40" s="1"/>
  <c r="E4" i="83"/>
  <c r="E5" i="83"/>
  <c r="E6" i="83"/>
  <c r="E7" i="83"/>
  <c r="E8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3" i="83"/>
  <c r="E7" i="50"/>
  <c r="E8" i="50"/>
  <c r="E9" i="50"/>
  <c r="E10" i="50"/>
  <c r="E11" i="50"/>
  <c r="E12" i="50"/>
  <c r="E15" i="50"/>
  <c r="E16" i="50"/>
  <c r="E17" i="50"/>
  <c r="E18" i="50"/>
  <c r="E20" i="50"/>
  <c r="E22" i="50"/>
  <c r="E25" i="50"/>
  <c r="E26" i="50"/>
  <c r="E27" i="50"/>
  <c r="E28" i="50"/>
  <c r="E29" i="50"/>
  <c r="E31" i="50"/>
  <c r="E33" i="50"/>
  <c r="E34" i="50"/>
  <c r="E35" i="50"/>
  <c r="D32" i="50"/>
  <c r="O33" i="67" s="1"/>
  <c r="D30" i="50"/>
  <c r="D23" i="42" s="1"/>
  <c r="D23" i="50"/>
  <c r="O29" i="67" s="1"/>
  <c r="I14" i="51" l="1"/>
  <c r="I13" i="62" s="1"/>
  <c r="O26" i="67"/>
  <c r="D76" i="41"/>
  <c r="D6" i="41"/>
  <c r="D9" i="42"/>
  <c r="D14" i="42"/>
  <c r="O17" i="67" s="1"/>
  <c r="D28" i="51"/>
  <c r="D36" i="51" s="1"/>
  <c r="D50" i="51" s="1"/>
  <c r="D7" i="51"/>
  <c r="D6" i="62" s="1"/>
  <c r="D55" i="51"/>
  <c r="O12" i="67"/>
  <c r="D15" i="42"/>
  <c r="I7" i="51"/>
  <c r="I6" i="62" s="1"/>
  <c r="I12" i="51"/>
  <c r="I11" i="62" s="1"/>
  <c r="O24" i="67"/>
  <c r="D34" i="40"/>
  <c r="E34" i="40" s="1"/>
  <c r="I11" i="51"/>
  <c r="I10" i="62" s="1"/>
  <c r="O25" i="67"/>
  <c r="D24" i="83"/>
  <c r="E24" i="83" s="1"/>
  <c r="D22" i="42"/>
  <c r="I30" i="51"/>
  <c r="I20" i="62" s="1"/>
  <c r="O30" i="67"/>
  <c r="I15" i="62"/>
  <c r="I21" i="62"/>
  <c r="I53" i="51"/>
  <c r="I9" i="51"/>
  <c r="I15" i="51" s="1"/>
  <c r="I49" i="51" s="1"/>
  <c r="J49" i="51" s="1"/>
  <c r="D19" i="51"/>
  <c r="D32" i="41"/>
  <c r="D28" i="41" s="1"/>
  <c r="D7" i="42" s="1"/>
  <c r="D6" i="51" s="1"/>
  <c r="D5" i="62" s="1"/>
  <c r="D5" i="41"/>
  <c r="G34" i="82"/>
  <c r="G6" i="82"/>
  <c r="D26" i="40"/>
  <c r="C20" i="41"/>
  <c r="E20" i="41" s="1"/>
  <c r="E24" i="50"/>
  <c r="E6" i="50"/>
  <c r="D43" i="51" l="1"/>
  <c r="C19" i="41"/>
  <c r="E19" i="41" s="1"/>
  <c r="O9" i="67"/>
  <c r="D57" i="51"/>
  <c r="D26" i="62"/>
  <c r="D27" i="62" s="1"/>
  <c r="D53" i="51"/>
  <c r="D5" i="42"/>
  <c r="D66" i="41"/>
  <c r="D77" i="41" s="1"/>
  <c r="I8" i="62"/>
  <c r="I23" i="51"/>
  <c r="D36" i="40"/>
  <c r="I28" i="51"/>
  <c r="D21" i="42"/>
  <c r="D20" i="42" s="1"/>
  <c r="O28" i="67"/>
  <c r="D36" i="50"/>
  <c r="I14" i="62"/>
  <c r="H54" i="62"/>
  <c r="J54" i="62" s="1"/>
  <c r="H42" i="62"/>
  <c r="J42" i="62" s="1"/>
  <c r="H12" i="62"/>
  <c r="J12" i="62" s="1"/>
  <c r="H9" i="62"/>
  <c r="J9" i="62" s="1"/>
  <c r="C7" i="62"/>
  <c r="E7" i="62" s="1"/>
  <c r="H38" i="51"/>
  <c r="H26" i="62" s="1"/>
  <c r="J26" i="62" s="1"/>
  <c r="H33" i="51"/>
  <c r="J33" i="51" s="1"/>
  <c r="G33" i="51"/>
  <c r="H31" i="51"/>
  <c r="G31" i="51"/>
  <c r="H18" i="51"/>
  <c r="H14" i="51"/>
  <c r="H8" i="51"/>
  <c r="H7" i="51"/>
  <c r="H6" i="51"/>
  <c r="H5" i="51"/>
  <c r="C40" i="51"/>
  <c r="C58" i="51" s="1"/>
  <c r="C39" i="51"/>
  <c r="C30" i="51"/>
  <c r="C28" i="51"/>
  <c r="E28" i="51" s="1"/>
  <c r="C22" i="51"/>
  <c r="E22" i="51" s="1"/>
  <c r="C20" i="51"/>
  <c r="E20" i="51" s="1"/>
  <c r="C18" i="51"/>
  <c r="C38" i="51" l="1"/>
  <c r="E39" i="51"/>
  <c r="C20" i="62"/>
  <c r="E20" i="62" s="1"/>
  <c r="E30" i="51"/>
  <c r="D15" i="62"/>
  <c r="D56" i="51"/>
  <c r="O7" i="67"/>
  <c r="D5" i="51"/>
  <c r="D12" i="42"/>
  <c r="D19" i="42"/>
  <c r="I18" i="62"/>
  <c r="I25" i="62" s="1"/>
  <c r="I27" i="62" s="1"/>
  <c r="I36" i="51"/>
  <c r="H21" i="62"/>
  <c r="J21" i="62" s="1"/>
  <c r="J31" i="51"/>
  <c r="I16" i="62"/>
  <c r="C17" i="51"/>
  <c r="E18" i="51"/>
  <c r="H4" i="62"/>
  <c r="J4" i="62" s="1"/>
  <c r="J5" i="51"/>
  <c r="H6" i="62"/>
  <c r="J6" i="62" s="1"/>
  <c r="J7" i="51"/>
  <c r="H13" i="62"/>
  <c r="J13" i="62" s="1"/>
  <c r="J14" i="51"/>
  <c r="H5" i="62"/>
  <c r="J5" i="62" s="1"/>
  <c r="J6" i="51"/>
  <c r="H7" i="62"/>
  <c r="J7" i="62" s="1"/>
  <c r="J8" i="51"/>
  <c r="H17" i="51"/>
  <c r="H54" i="51" s="1"/>
  <c r="J54" i="51" s="1"/>
  <c r="J18" i="51"/>
  <c r="H44" i="62"/>
  <c r="J44" i="62" s="1"/>
  <c r="H56" i="62"/>
  <c r="J56" i="62" s="1"/>
  <c r="H55" i="51"/>
  <c r="C19" i="51"/>
  <c r="E19" i="51" s="1"/>
  <c r="C55" i="51" l="1"/>
  <c r="E55" i="51" s="1"/>
  <c r="E38" i="51"/>
  <c r="D4" i="62"/>
  <c r="D14" i="62" s="1"/>
  <c r="D16" i="62" s="1"/>
  <c r="D15" i="51"/>
  <c r="D16" i="42"/>
  <c r="D18" i="42"/>
  <c r="I83" i="62"/>
  <c r="I43" i="51"/>
  <c r="I50" i="51"/>
  <c r="I51" i="51" s="1"/>
  <c r="I37" i="51"/>
  <c r="I28" i="62"/>
  <c r="H15" i="62"/>
  <c r="J15" i="62" s="1"/>
  <c r="J17" i="51"/>
  <c r="C54" i="51"/>
  <c r="E17" i="51"/>
  <c r="C57" i="51"/>
  <c r="C26" i="62"/>
  <c r="E26" i="62" s="1"/>
  <c r="H53" i="51"/>
  <c r="J53" i="51" s="1"/>
  <c r="C56" i="51" l="1"/>
  <c r="E56" i="51" s="1"/>
  <c r="E57" i="51"/>
  <c r="C53" i="51"/>
  <c r="E54" i="51"/>
  <c r="D49" i="51"/>
  <c r="D23" i="51"/>
  <c r="I16" i="51"/>
  <c r="D83" i="62"/>
  <c r="D28" i="62"/>
  <c r="D29" i="42"/>
  <c r="D34" i="42" s="1"/>
  <c r="I59" i="51"/>
  <c r="C8" i="40"/>
  <c r="C9" i="83"/>
  <c r="C3" i="83"/>
  <c r="C14" i="50"/>
  <c r="C15" i="62" l="1"/>
  <c r="E15" i="62" s="1"/>
  <c r="E53" i="51"/>
  <c r="D51" i="51"/>
  <c r="E14" i="50"/>
  <c r="C3" i="50"/>
  <c r="H11" i="51"/>
  <c r="J11" i="51" s="1"/>
  <c r="H12" i="51"/>
  <c r="D59" i="51" l="1"/>
  <c r="I52" i="51"/>
  <c r="E3" i="50"/>
  <c r="H28" i="51"/>
  <c r="H11" i="62"/>
  <c r="J11" i="62" s="1"/>
  <c r="J12" i="51"/>
  <c r="H10" i="62"/>
  <c r="H9" i="51"/>
  <c r="C31" i="42"/>
  <c r="E31" i="42" s="1"/>
  <c r="C30" i="42"/>
  <c r="E30" i="42" s="1"/>
  <c r="C25" i="42"/>
  <c r="C11" i="42"/>
  <c r="E11" i="42" s="1"/>
  <c r="C72" i="41"/>
  <c r="E72" i="41" s="1"/>
  <c r="C67" i="41"/>
  <c r="E67" i="41" s="1"/>
  <c r="C58" i="41"/>
  <c r="C53" i="41"/>
  <c r="C41" i="41"/>
  <c r="C36" i="41"/>
  <c r="E36" i="41" s="1"/>
  <c r="C33" i="41"/>
  <c r="E33" i="41" s="1"/>
  <c r="C29" i="41"/>
  <c r="E29" i="41" s="1"/>
  <c r="C6" i="42"/>
  <c r="E6" i="42" s="1"/>
  <c r="C16" i="41"/>
  <c r="E16" i="41" s="1"/>
  <c r="F44" i="82"/>
  <c r="C9" i="41" s="1"/>
  <c r="E9" i="41" s="1"/>
  <c r="F38" i="82"/>
  <c r="F35" i="82"/>
  <c r="F25" i="82"/>
  <c r="F22" i="82"/>
  <c r="F19" i="82"/>
  <c r="F10" i="82"/>
  <c r="C24" i="40"/>
  <c r="C34" i="40"/>
  <c r="C23" i="50"/>
  <c r="E23" i="50" s="1"/>
  <c r="B24" i="50"/>
  <c r="J28" i="51" l="1"/>
  <c r="H18" i="62"/>
  <c r="J18" i="62" s="1"/>
  <c r="H8" i="62"/>
  <c r="J10" i="62"/>
  <c r="H15" i="51"/>
  <c r="J15" i="51" s="1"/>
  <c r="J9" i="51"/>
  <c r="C8" i="42"/>
  <c r="E8" i="42" s="1"/>
  <c r="E41" i="41"/>
  <c r="C10" i="42"/>
  <c r="E10" i="42" s="1"/>
  <c r="E58" i="41"/>
  <c r="C9" i="42"/>
  <c r="E9" i="42" s="1"/>
  <c r="E53" i="41"/>
  <c r="C29" i="51"/>
  <c r="H23" i="51"/>
  <c r="J23" i="51" s="1"/>
  <c r="C18" i="62"/>
  <c r="C7" i="51"/>
  <c r="C22" i="42"/>
  <c r="E22" i="42" s="1"/>
  <c r="H30" i="51"/>
  <c r="J30" i="51" s="1"/>
  <c r="C14" i="42"/>
  <c r="E14" i="42" s="1"/>
  <c r="C76" i="41"/>
  <c r="E76" i="41" s="1"/>
  <c r="C13" i="42"/>
  <c r="E13" i="42" s="1"/>
  <c r="C26" i="40"/>
  <c r="C24" i="83"/>
  <c r="C30" i="50"/>
  <c r="C15" i="42"/>
  <c r="E15" i="42" s="1"/>
  <c r="C32" i="41"/>
  <c r="E32" i="41" s="1"/>
  <c r="F34" i="82"/>
  <c r="C8" i="41" s="1"/>
  <c r="E8" i="41" s="1"/>
  <c r="C36" i="51" l="1"/>
  <c r="E36" i="51" s="1"/>
  <c r="C19" i="62"/>
  <c r="E19" i="62" s="1"/>
  <c r="E29" i="51"/>
  <c r="C36" i="40"/>
  <c r="E36" i="40" s="1"/>
  <c r="E26" i="40"/>
  <c r="C23" i="42"/>
  <c r="E23" i="42" s="1"/>
  <c r="E30" i="50"/>
  <c r="C25" i="62"/>
  <c r="E25" i="62" s="1"/>
  <c r="E18" i="62"/>
  <c r="H14" i="62"/>
  <c r="J8" i="62"/>
  <c r="C27" i="62"/>
  <c r="E27" i="62" s="1"/>
  <c r="C6" i="62"/>
  <c r="E6" i="62" s="1"/>
  <c r="E7" i="51"/>
  <c r="H49" i="51"/>
  <c r="C50" i="51"/>
  <c r="E50" i="51" s="1"/>
  <c r="C43" i="51"/>
  <c r="E43" i="51" s="1"/>
  <c r="H20" i="62"/>
  <c r="H36" i="51"/>
  <c r="J36" i="51" s="1"/>
  <c r="C19" i="42"/>
  <c r="C21" i="42"/>
  <c r="C28" i="41"/>
  <c r="E28" i="41" s="1"/>
  <c r="C18" i="42" l="1"/>
  <c r="E18" i="42" s="1"/>
  <c r="E19" i="42"/>
  <c r="C20" i="42"/>
  <c r="E21" i="42"/>
  <c r="H25" i="62"/>
  <c r="J20" i="62"/>
  <c r="H16" i="62"/>
  <c r="J16" i="62" s="1"/>
  <c r="J14" i="62"/>
  <c r="H43" i="51"/>
  <c r="J43" i="51" s="1"/>
  <c r="H50" i="51"/>
  <c r="H37" i="51"/>
  <c r="J37" i="51" s="1"/>
  <c r="C7" i="42"/>
  <c r="E7" i="42" s="1"/>
  <c r="H51" i="51" l="1"/>
  <c r="J51" i="51" s="1"/>
  <c r="J50" i="51"/>
  <c r="E20" i="42"/>
  <c r="C29" i="42"/>
  <c r="E29" i="42" s="1"/>
  <c r="H27" i="62"/>
  <c r="J25" i="62"/>
  <c r="C6" i="51"/>
  <c r="H59" i="51"/>
  <c r="J59" i="51" s="1"/>
  <c r="B14" i="50"/>
  <c r="B6" i="50"/>
  <c r="J27" i="62" l="1"/>
  <c r="H28" i="62"/>
  <c r="H83" i="62"/>
  <c r="J83" i="62" s="1"/>
  <c r="C5" i="62"/>
  <c r="E5" i="62" s="1"/>
  <c r="E6" i="51"/>
  <c r="B3" i="50"/>
  <c r="B25" i="42" l="1"/>
  <c r="B24" i="40"/>
  <c r="B51" i="41" l="1"/>
  <c r="B21" i="40"/>
  <c r="B4" i="83"/>
  <c r="B35" i="50"/>
  <c r="P14" i="67"/>
  <c r="C32" i="42" l="1"/>
  <c r="C32" i="50"/>
  <c r="E32" i="50" s="1"/>
  <c r="F36" i="50" s="1"/>
  <c r="B30" i="50"/>
  <c r="C33" i="42" l="1"/>
  <c r="E32" i="42"/>
  <c r="C36" i="50"/>
  <c r="E36" i="50" s="1"/>
  <c r="B23" i="42"/>
  <c r="C34" i="42" l="1"/>
  <c r="E34" i="42" s="1"/>
  <c r="E33" i="42"/>
  <c r="B16" i="41"/>
  <c r="B31" i="67" l="1"/>
  <c r="B27" i="67"/>
  <c r="B32" i="67" l="1"/>
  <c r="B34" i="67" l="1"/>
  <c r="B55" i="62" l="1"/>
  <c r="B48" i="62"/>
  <c r="B47" i="62"/>
  <c r="B34" i="62"/>
  <c r="B7" i="62"/>
  <c r="G38" i="51"/>
  <c r="G21" i="51"/>
  <c r="G18" i="51" l="1"/>
  <c r="G6" i="51"/>
  <c r="G5" i="51"/>
  <c r="B18" i="51"/>
  <c r="B39" i="51"/>
  <c r="B22" i="51"/>
  <c r="B20" i="51"/>
  <c r="B36" i="41"/>
  <c r="B23" i="50"/>
  <c r="B8" i="40"/>
  <c r="B32" i="42"/>
  <c r="B31" i="42"/>
  <c r="B30" i="42"/>
  <c r="B32" i="50"/>
  <c r="B72" i="41"/>
  <c r="B67" i="41"/>
  <c r="B62" i="41"/>
  <c r="B53" i="41"/>
  <c r="B46" i="41"/>
  <c r="B33" i="41"/>
  <c r="B29" i="41"/>
  <c r="B19" i="41"/>
  <c r="E25" i="82"/>
  <c r="G17" i="51" l="1"/>
  <c r="B38" i="51"/>
  <c r="B76" i="41"/>
  <c r="B32" i="41"/>
  <c r="B41" i="41"/>
  <c r="B30" i="51"/>
  <c r="B14" i="42"/>
  <c r="B13" i="42"/>
  <c r="B33" i="42"/>
  <c r="G30" i="51"/>
  <c r="G28" i="51"/>
  <c r="O31" i="67"/>
  <c r="B36" i="50"/>
  <c r="B22" i="42"/>
  <c r="B21" i="42"/>
  <c r="G8" i="51"/>
  <c r="G7" i="51"/>
  <c r="B11" i="42"/>
  <c r="B9" i="42"/>
  <c r="B29" i="51"/>
  <c r="B8" i="42"/>
  <c r="B6" i="42"/>
  <c r="B28" i="51"/>
  <c r="G14" i="51"/>
  <c r="B28" i="41"/>
  <c r="G6" i="62" l="1"/>
  <c r="G18" i="62"/>
  <c r="G15" i="62"/>
  <c r="B19" i="62"/>
  <c r="B20" i="62"/>
  <c r="B55" i="51"/>
  <c r="B15" i="42"/>
  <c r="B18" i="62"/>
  <c r="P13" i="67"/>
  <c r="O15" i="67"/>
  <c r="B7" i="51"/>
  <c r="B18" i="67"/>
  <c r="B7" i="42"/>
  <c r="B6" i="62" l="1"/>
  <c r="B6" i="51"/>
  <c r="B5" i="62" l="1"/>
  <c r="N33" i="67" l="1"/>
  <c r="P33" i="67" s="1"/>
  <c r="C31" i="67"/>
  <c r="D31" i="67"/>
  <c r="E31" i="67"/>
  <c r="F31" i="67"/>
  <c r="G31" i="67"/>
  <c r="H31" i="67"/>
  <c r="I31" i="67"/>
  <c r="J31" i="67"/>
  <c r="K31" i="67"/>
  <c r="L31" i="67"/>
  <c r="M31" i="67"/>
  <c r="C27" i="67"/>
  <c r="D27" i="67"/>
  <c r="E27" i="67"/>
  <c r="F27" i="67"/>
  <c r="G27" i="67"/>
  <c r="H27" i="67"/>
  <c r="I27" i="67"/>
  <c r="J27" i="67"/>
  <c r="K27" i="67"/>
  <c r="L27" i="67"/>
  <c r="M27" i="67"/>
  <c r="K15" i="67"/>
  <c r="E15" i="67"/>
  <c r="C11" i="67"/>
  <c r="D11" i="67"/>
  <c r="E11" i="67"/>
  <c r="E16" i="67" s="1"/>
  <c r="E19" i="67" s="1"/>
  <c r="F11" i="67"/>
  <c r="G11" i="67"/>
  <c r="H11" i="67"/>
  <c r="I11" i="67"/>
  <c r="J11" i="67"/>
  <c r="K11" i="67"/>
  <c r="K16" i="67" s="1"/>
  <c r="K19" i="67" s="1"/>
  <c r="L11" i="67"/>
  <c r="M11" i="67"/>
  <c r="N35" i="67"/>
  <c r="N30" i="67"/>
  <c r="P30" i="67" s="1"/>
  <c r="N29" i="67"/>
  <c r="P29" i="67" s="1"/>
  <c r="N28" i="67"/>
  <c r="P28" i="67" s="1"/>
  <c r="N26" i="67"/>
  <c r="P26" i="67" s="1"/>
  <c r="N25" i="67"/>
  <c r="N24" i="67"/>
  <c r="N23" i="67"/>
  <c r="P23" i="67" s="1"/>
  <c r="N22" i="67"/>
  <c r="P22" i="67" s="1"/>
  <c r="N21" i="67"/>
  <c r="P21" i="67" s="1"/>
  <c r="N20" i="67"/>
  <c r="P20" i="67" s="1"/>
  <c r="N18" i="67"/>
  <c r="P18" i="67" s="1"/>
  <c r="N17" i="67"/>
  <c r="P17" i="67" s="1"/>
  <c r="M15" i="67"/>
  <c r="L15" i="67"/>
  <c r="J15" i="67"/>
  <c r="I15" i="67"/>
  <c r="H15" i="67"/>
  <c r="G15" i="67"/>
  <c r="F15" i="67"/>
  <c r="D15" i="67"/>
  <c r="C15" i="67"/>
  <c r="B15" i="67"/>
  <c r="N14" i="67"/>
  <c r="N13" i="67"/>
  <c r="N12" i="67"/>
  <c r="P12" i="67" s="1"/>
  <c r="B11" i="67"/>
  <c r="N10" i="67"/>
  <c r="N9" i="67"/>
  <c r="P9" i="67" s="1"/>
  <c r="N8" i="67"/>
  <c r="P8" i="67" s="1"/>
  <c r="N7" i="67"/>
  <c r="G20" i="62"/>
  <c r="G13" i="62"/>
  <c r="G12" i="62"/>
  <c r="G9" i="62"/>
  <c r="G7" i="62"/>
  <c r="G5" i="62"/>
  <c r="G4" i="62"/>
  <c r="G26" i="62"/>
  <c r="B9" i="83"/>
  <c r="P24" i="67" l="1"/>
  <c r="N31" i="67"/>
  <c r="P31" i="67" s="1"/>
  <c r="N27" i="67"/>
  <c r="G40" i="62"/>
  <c r="G12" i="51"/>
  <c r="B34" i="40"/>
  <c r="C32" i="67"/>
  <c r="E32" i="67"/>
  <c r="E34" i="67" s="1"/>
  <c r="G32" i="67"/>
  <c r="G34" i="67" s="1"/>
  <c r="I32" i="67"/>
  <c r="I34" i="67" s="1"/>
  <c r="K32" i="67"/>
  <c r="K34" i="67" s="1"/>
  <c r="M32" i="67"/>
  <c r="M34" i="67" s="1"/>
  <c r="D32" i="67"/>
  <c r="D34" i="67" s="1"/>
  <c r="F32" i="67"/>
  <c r="F34" i="67" s="1"/>
  <c r="H32" i="67"/>
  <c r="H34" i="67" s="1"/>
  <c r="J32" i="67"/>
  <c r="J34" i="67" s="1"/>
  <c r="L32" i="67"/>
  <c r="L34" i="67" s="1"/>
  <c r="L16" i="67"/>
  <c r="L19" i="67" s="1"/>
  <c r="J16" i="67"/>
  <c r="J19" i="67" s="1"/>
  <c r="H16" i="67"/>
  <c r="H19" i="67" s="1"/>
  <c r="F16" i="67"/>
  <c r="F19" i="67" s="1"/>
  <c r="D16" i="67"/>
  <c r="D19" i="67" s="1"/>
  <c r="M16" i="67"/>
  <c r="M19" i="67" s="1"/>
  <c r="I16" i="67"/>
  <c r="I19" i="67" s="1"/>
  <c r="G16" i="67"/>
  <c r="G19" i="67" s="1"/>
  <c r="C16" i="67"/>
  <c r="C19" i="67" s="1"/>
  <c r="N15" i="67"/>
  <c r="P15" i="67" s="1"/>
  <c r="N11" i="67"/>
  <c r="B16" i="67"/>
  <c r="B36" i="67" s="1"/>
  <c r="G11" i="62" l="1"/>
  <c r="N32" i="67"/>
  <c r="C34" i="67"/>
  <c r="N34" i="67" s="1"/>
  <c r="C6" i="67"/>
  <c r="B19" i="67"/>
  <c r="N16" i="67"/>
  <c r="C36" i="67" l="1"/>
  <c r="D6" i="67" s="1"/>
  <c r="D36" i="67" s="1"/>
  <c r="N19" i="67"/>
  <c r="N36" i="67" l="1"/>
  <c r="E6" i="67"/>
  <c r="E36" i="67" s="1"/>
  <c r="G21" i="62"/>
  <c r="B3" i="83"/>
  <c r="G11" i="51" l="1"/>
  <c r="B24" i="83"/>
  <c r="F6" i="67"/>
  <c r="F36" i="67" s="1"/>
  <c r="G9" i="51" l="1"/>
  <c r="B26" i="40"/>
  <c r="G10" i="62"/>
  <c r="O27" i="67"/>
  <c r="P25" i="67"/>
  <c r="G6" i="67"/>
  <c r="G36" i="67" s="1"/>
  <c r="E38" i="82"/>
  <c r="B36" i="40" l="1"/>
  <c r="B19" i="42" s="1"/>
  <c r="G8" i="62"/>
  <c r="G15" i="51"/>
  <c r="O32" i="67"/>
  <c r="P27" i="67"/>
  <c r="H6" i="67"/>
  <c r="H36" i="67" s="1"/>
  <c r="E8" i="82"/>
  <c r="G14" i="62" l="1"/>
  <c r="B18" i="42"/>
  <c r="E7" i="82"/>
  <c r="F8" i="82"/>
  <c r="F7" i="82" s="1"/>
  <c r="F6" i="82" s="1"/>
  <c r="F5" i="82" s="1"/>
  <c r="O34" i="67"/>
  <c r="P34" i="67" s="1"/>
  <c r="P32" i="67"/>
  <c r="I6" i="67"/>
  <c r="I36" i="67" s="1"/>
  <c r="E44" i="82"/>
  <c r="B9" i="41" s="1"/>
  <c r="E35" i="82"/>
  <c r="E22" i="82"/>
  <c r="E19" i="82"/>
  <c r="E10" i="82"/>
  <c r="C7" i="41" l="1"/>
  <c r="F49" i="82"/>
  <c r="E34" i="82"/>
  <c r="B8" i="41" s="1"/>
  <c r="E6" i="82"/>
  <c r="E5" i="82" s="1"/>
  <c r="B7" i="41" s="1"/>
  <c r="J6" i="67"/>
  <c r="J36" i="67" s="1"/>
  <c r="E7" i="41" l="1"/>
  <c r="C6" i="41"/>
  <c r="B6" i="41"/>
  <c r="B5" i="41" s="1"/>
  <c r="B5" i="42" s="1"/>
  <c r="E6" i="41"/>
  <c r="E49" i="82"/>
  <c r="K6" i="67"/>
  <c r="K36" i="67" s="1"/>
  <c r="G55" i="51"/>
  <c r="B36" i="51"/>
  <c r="B40" i="51"/>
  <c r="G36" i="51"/>
  <c r="B19" i="51"/>
  <c r="B17" i="51"/>
  <c r="B54" i="51" l="1"/>
  <c r="C5" i="41"/>
  <c r="E5" i="41" s="1"/>
  <c r="B5" i="51"/>
  <c r="G50" i="51"/>
  <c r="G37" i="51"/>
  <c r="B26" i="62"/>
  <c r="B57" i="51"/>
  <c r="B43" i="51"/>
  <c r="B50" i="51"/>
  <c r="G49" i="51"/>
  <c r="G23" i="51"/>
  <c r="L6" i="67"/>
  <c r="L36" i="67" s="1"/>
  <c r="G54" i="51"/>
  <c r="G43" i="51"/>
  <c r="G53" i="51"/>
  <c r="G51" i="51" l="1"/>
  <c r="B53" i="51"/>
  <c r="C66" i="41"/>
  <c r="E66" i="41" s="1"/>
  <c r="C5" i="42"/>
  <c r="E5" i="42" s="1"/>
  <c r="B4" i="62"/>
  <c r="B15" i="51"/>
  <c r="M6" i="67"/>
  <c r="M36" i="67" s="1"/>
  <c r="B58" i="41"/>
  <c r="B20" i="42"/>
  <c r="P7" i="67" l="1"/>
  <c r="C5" i="51"/>
  <c r="E5" i="51" s="1"/>
  <c r="G59" i="51"/>
  <c r="B14" i="62"/>
  <c r="B15" i="62"/>
  <c r="C77" i="41"/>
  <c r="E77" i="41" s="1"/>
  <c r="C12" i="42"/>
  <c r="B49" i="51"/>
  <c r="G16" i="51"/>
  <c r="B23" i="51"/>
  <c r="B29" i="42"/>
  <c r="B10" i="42"/>
  <c r="B66" i="41"/>
  <c r="B77" i="41" s="1"/>
  <c r="C16" i="42" l="1"/>
  <c r="E16" i="42" s="1"/>
  <c r="E12" i="42"/>
  <c r="C15" i="51"/>
  <c r="E15" i="51" s="1"/>
  <c r="C4" i="62"/>
  <c r="E4" i="62" s="1"/>
  <c r="B51" i="51"/>
  <c r="B34" i="42"/>
  <c r="B12" i="42"/>
  <c r="C14" i="62" l="1"/>
  <c r="E14" i="62" s="1"/>
  <c r="C49" i="51"/>
  <c r="E49" i="51" s="1"/>
  <c r="C23" i="51"/>
  <c r="E23" i="51" s="1"/>
  <c r="H16" i="51"/>
  <c r="J16" i="51" s="1"/>
  <c r="G52" i="51"/>
  <c r="B16" i="42"/>
  <c r="P10" i="67"/>
  <c r="O11" i="67"/>
  <c r="G54" i="62"/>
  <c r="C51" i="51" l="1"/>
  <c r="E51" i="51" s="1"/>
  <c r="C16" i="62"/>
  <c r="E16" i="62" s="1"/>
  <c r="O16" i="67"/>
  <c r="P11" i="67"/>
  <c r="C28" i="62" l="1"/>
  <c r="C83" i="62"/>
  <c r="E83" i="62" s="1"/>
  <c r="C59" i="51"/>
  <c r="E59" i="51" s="1"/>
  <c r="H52" i="51"/>
  <c r="J52" i="51" s="1"/>
  <c r="O19" i="67"/>
  <c r="P19" i="67" s="1"/>
  <c r="P16" i="67"/>
  <c r="G56" i="62" l="1"/>
  <c r="G42" i="62"/>
  <c r="G25" i="62"/>
  <c r="G82" i="62"/>
  <c r="G71" i="62"/>
  <c r="G73" i="62" s="1"/>
  <c r="B54" i="62"/>
  <c r="B56" i="62" s="1"/>
  <c r="B42" i="62"/>
  <c r="B44" i="62" s="1"/>
  <c r="B25" i="62"/>
  <c r="G16" i="62"/>
  <c r="B16" i="62"/>
  <c r="G44" i="62" l="1"/>
  <c r="G83" i="62" s="1"/>
  <c r="G27" i="62"/>
  <c r="B27" i="62"/>
  <c r="B58" i="51"/>
  <c r="B83" i="62" l="1"/>
  <c r="B84" i="62" s="1"/>
  <c r="G28" i="62"/>
  <c r="J28" i="62" s="1"/>
  <c r="E28" i="62"/>
  <c r="B28" i="62"/>
  <c r="B56" i="51"/>
  <c r="B59" i="51" l="1"/>
</calcChain>
</file>

<file path=xl/sharedStrings.xml><?xml version="1.0" encoding="utf-8"?>
<sst xmlns="http://schemas.openxmlformats.org/spreadsheetml/2006/main" count="568" uniqueCount="375">
  <si>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</si>
  <si>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</si>
  <si>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</si>
  <si>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7. Működési célú visszatérítendő támogatások, kölcsönök nyújtása áh-n kívülre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</si>
  <si>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</si>
  <si>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</si>
  <si>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</si>
  <si>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</si>
  <si>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</si>
  <si>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</si>
  <si>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</si>
  <si>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</si>
  <si>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</si>
  <si>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</si>
  <si>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Bevételek összesen:</t>
  </si>
  <si>
    <t>Működési kiadások</t>
  </si>
  <si>
    <t>Felhalmozási kiadások</t>
  </si>
  <si>
    <t>Tartalékok</t>
  </si>
  <si>
    <t>Általános</t>
  </si>
  <si>
    <t>Cél</t>
  </si>
  <si>
    <t>Költségvetési kiadások összesen:</t>
  </si>
  <si>
    <t>Finanszírozási kiadások összesen:</t>
  </si>
  <si>
    <t>Kiadások összesen:</t>
  </si>
  <si>
    <t>1. Önkormányzat működési támogatásai</t>
  </si>
  <si>
    <t xml:space="preserve"> 1.1. Helyi önk. működésének ált.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</si>
  <si>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</si>
  <si>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</si>
  <si>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</si>
  <si>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</si>
  <si>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</si>
  <si>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</si>
  <si>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</si>
  <si>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</si>
  <si>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</si>
  <si>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</si>
  <si>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</si>
  <si>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</si>
  <si>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</si>
  <si>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</si>
  <si>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</si>
  <si>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</si>
  <si>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</si>
  <si>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</si>
  <si>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</si>
  <si>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</si>
  <si>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</si>
  <si>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</si>
  <si>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</si>
  <si>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</si>
  <si>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</si>
  <si>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</si>
  <si>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</si>
  <si>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</si>
  <si>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</si>
  <si>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</si>
  <si>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</si>
  <si>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</si>
  <si>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</si>
  <si>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</si>
  <si>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</si>
  <si>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</si>
  <si>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</si>
  <si>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</si>
  <si>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</si>
  <si>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</si>
  <si>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Összes bevétel:</t>
  </si>
  <si>
    <t xml:space="preserve">  ebből közfoglalkoztatott</t>
  </si>
  <si>
    <t>LÉTSZÁM</t>
  </si>
  <si>
    <t>MUTATÓ</t>
  </si>
  <si>
    <t>FAJLAGOS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</si>
  <si>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</si>
  <si>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</si>
  <si>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</si>
  <si>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</si>
  <si>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</si>
  <si>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</si>
  <si>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</si>
  <si>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 xml:space="preserve">Pénzbeli szociális juttatások </t>
  </si>
  <si>
    <t>Egyes szoc.és gyermekjólétii felad.támog.</t>
  </si>
  <si>
    <t>Gyermekétkeztetés támogatása</t>
  </si>
  <si>
    <t>Kulturális feladatok támogatása</t>
  </si>
  <si>
    <t>Nyilvános könyvtári és közművelődési feladatok támogatása</t>
  </si>
  <si>
    <t>Lakott külterületekkel kapcsolatos feladatok támogatása</t>
  </si>
  <si>
    <t>Összesen</t>
  </si>
  <si>
    <t>Megnevezés</t>
  </si>
  <si>
    <t>Összesen:</t>
  </si>
  <si>
    <t>1. Személyi juttatás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</si>
  <si>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</si>
  <si>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</si>
  <si>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</si>
  <si>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</si>
  <si>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</si>
  <si>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3. Működési célú visszatérítendő támogatások, kölcsönök nyújtása áh-n belülre</t>
  </si>
  <si>
    <t>4. Működési célú visszatérítendő támogatások, kölcsönök törlesztése áh-n belülre</t>
  </si>
  <si>
    <t>6. Működési célú garancia- és kezességvállalásból származó kifizetés államháztartáson kívülre</t>
  </si>
  <si>
    <t>Önkormányzati működési kiadások  összesen:</t>
  </si>
  <si>
    <t>Forgatási célú értékpapír vásárlás</t>
  </si>
  <si>
    <t>Ebből: bérleti díjak</t>
  </si>
  <si>
    <t>IV. Finanszírozási kiadások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</si>
  <si>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</si>
  <si>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</si>
  <si>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</si>
  <si>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</si>
  <si>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</si>
  <si>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</si>
  <si>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</si>
  <si>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</si>
  <si>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</si>
  <si>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</si>
  <si>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</si>
  <si>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</si>
  <si>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</si>
  <si>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</si>
  <si>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</si>
  <si>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</si>
  <si>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</si>
  <si>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</si>
  <si>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</si>
  <si>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</si>
  <si>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</si>
  <si>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</si>
  <si>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</si>
  <si>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</si>
  <si>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</si>
  <si>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</si>
  <si>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</si>
  <si>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</si>
  <si>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</si>
  <si>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</si>
  <si>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</si>
  <si>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</si>
  <si>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</si>
  <si>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>ELŐIRÁNYZAT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</si>
  <si>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</si>
  <si>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</si>
  <si>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</si>
  <si>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</si>
  <si>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</si>
  <si>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</si>
  <si>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</si>
  <si>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</si>
  <si>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</si>
  <si>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</si>
  <si>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</si>
  <si>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</si>
  <si>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</si>
  <si>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</si>
  <si>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</si>
  <si>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</si>
  <si>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</si>
  <si>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</si>
  <si>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</si>
  <si>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</si>
  <si>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</si>
  <si>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</si>
  <si>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</si>
  <si>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</si>
  <si>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</si>
  <si>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</si>
  <si>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</si>
  <si>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</si>
  <si>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</si>
  <si>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</si>
  <si>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</si>
  <si>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</si>
  <si>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</si>
  <si>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</si>
  <si>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</si>
  <si>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</si>
  <si>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</si>
  <si>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</si>
  <si>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</si>
  <si>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</si>
  <si>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</si>
  <si>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</si>
  <si>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</si>
  <si>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</si>
  <si>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</si>
  <si>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</si>
  <si>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</si>
  <si>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</si>
  <si>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</si>
  <si>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</si>
  <si>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</si>
  <si>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</si>
  <si>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</si>
  <si>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</si>
  <si>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</si>
  <si>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</si>
  <si>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</si>
  <si>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</si>
  <si>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</si>
  <si>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</si>
  <si>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</si>
  <si>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</si>
  <si>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</si>
  <si>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</si>
  <si>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</si>
  <si>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</si>
  <si>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</si>
  <si>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</si>
  <si>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</si>
  <si>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</si>
  <si>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</si>
  <si>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</si>
  <si>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</si>
  <si>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</si>
  <si>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</si>
  <si>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</si>
  <si>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</si>
  <si>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</si>
  <si>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Finanszírozási kiadások (hitel törlesztés, értékpapír visszavásárlás)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</si>
  <si>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</si>
  <si>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</si>
  <si>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</si>
  <si>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</si>
  <si>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</si>
  <si>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Települési önkormányzatok szociális feladatainak egyéb támogatása</t>
  </si>
  <si>
    <t>Pénzbeli szociális ellátások kiegészítése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</si>
  <si>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</si>
  <si>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</si>
  <si>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</si>
  <si>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</si>
  <si>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</si>
  <si>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</si>
  <si>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</si>
  <si>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</si>
  <si>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</si>
  <si>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</si>
  <si>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</si>
  <si>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</si>
  <si>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</si>
  <si>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</si>
  <si>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Állami támogatás megelőlegezés visszafizetése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</si>
  <si>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</si>
  <si>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</si>
  <si>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</si>
  <si>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</si>
  <si>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</si>
  <si>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</si>
  <si>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</si>
  <si>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</si>
  <si>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</si>
  <si>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4.1. Üzemeltetési díjak</t>
  </si>
  <si>
    <t>Informatikai szolg.igénybevétele</t>
  </si>
  <si>
    <t>Egyéb kommunikációs szolg.</t>
  </si>
  <si>
    <t>Közüzemi díjak</t>
  </si>
  <si>
    <t>Vásárolt élelmezés</t>
  </si>
  <si>
    <t>Karbantartási szolg.</t>
  </si>
  <si>
    <t>Szakmai tevékenységet segítő szolg.</t>
  </si>
  <si>
    <t>Működési célú előzetesen felsz.áfa</t>
  </si>
  <si>
    <t>Fizetendő áfa</t>
  </si>
  <si>
    <t>Egyéb dologi kiadások</t>
  </si>
  <si>
    <t>Egyéb szolgáltatások</t>
  </si>
  <si>
    <t>I.   Önkormányzati Hivatal költségvetése</t>
  </si>
  <si>
    <t>1.  Működési célú támogatások államháztartáson belülre</t>
  </si>
  <si>
    <t>Közoktatási Intézményfenntartó Társulás Pécsely  Óvoda fenntart támogatás</t>
  </si>
  <si>
    <t>Balatonfüredi közös Önkorm Hivatal</t>
  </si>
  <si>
    <t>BURSA Hungarica ösztöndíj (Wekerle Sándor Alapkezelő)</t>
  </si>
  <si>
    <t>2. Működési célú támogatások államháztartáson kívülre</t>
  </si>
  <si>
    <t>3. Működési célú visszatérítendő támogatások, kölcsönök nyújtása, törlesztése</t>
  </si>
  <si>
    <t>Egyéb működési célú kiadások összesen:</t>
  </si>
  <si>
    <t>Bf. Többcélú Társulás</t>
  </si>
  <si>
    <t>I. BERUHÁZÁSOK</t>
  </si>
  <si>
    <t>II. FELÚJÍTÁSOK</t>
  </si>
  <si>
    <t>III. EGYÉB FELHALMOZÁSI KIADÁSOK</t>
  </si>
  <si>
    <t>Részesedések beszerzése</t>
  </si>
  <si>
    <t>Egyéb felhalmozási kiadások</t>
  </si>
  <si>
    <t xml:space="preserve">     Szakmai anyagok beszerzése</t>
  </si>
  <si>
    <t xml:space="preserve">     Üzemeltetési anyagok beszerzése</t>
  </si>
  <si>
    <t>Önkormányzati feladatok</t>
  </si>
  <si>
    <t>Reklám és propaganda</t>
  </si>
  <si>
    <t>4.  Ellátottak pénzbeli juttatásai</t>
  </si>
  <si>
    <t>Szeptem-ber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</si>
  <si>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</si>
  <si>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</si>
  <si>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</si>
  <si>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</si>
  <si>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</si>
  <si>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</si>
  <si>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</si>
  <si>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</si>
  <si>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</si>
  <si>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</si>
  <si>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</si>
  <si>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Korrekció (előző évi kifizetés miatt)</t>
  </si>
  <si>
    <t>Finanszírozási bevételek (hitel, kötvény, értékpapír, állami tám.megelőlegezés)</t>
  </si>
  <si>
    <t>Települési támogatás</t>
  </si>
  <si>
    <t>Falugondnoki vagy tanyagondnoki</t>
  </si>
  <si>
    <t>2.1. Forgatási célú értékpapír beváltása</t>
  </si>
  <si>
    <t>10. Forgatási célú értékpapír vás.</t>
  </si>
  <si>
    <t>2.4. Államháztartáson belüli megelőlegezések</t>
  </si>
  <si>
    <t>2016. évről áthúzódó bérkompenzáció támogatása</t>
  </si>
  <si>
    <t>Ingatlanok beszerzése, létesítése</t>
  </si>
  <si>
    <t>Informatikai eszközök beszerzése, létesítése</t>
  </si>
  <si>
    <t>Egyéb tárgyi eszköz beszerzése</t>
  </si>
  <si>
    <t>Ingatlanok Felújítása</t>
  </si>
  <si>
    <t>Egyéb</t>
  </si>
  <si>
    <t>6. Értékpapír beváltása</t>
  </si>
  <si>
    <r>
      <t>BEVÉTELEK ÉS KIADÁSOK ELŐIRÁNYZATÁNAK HAVI ÜTEMEZÉSE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2017.</t>
    </r>
  </si>
  <si>
    <t>Református egyház</t>
  </si>
  <si>
    <t>Mosoly Alapítány</t>
  </si>
  <si>
    <t xml:space="preserve"> Bfüredi Önk Tűzoltóságnak</t>
  </si>
  <si>
    <t xml:space="preserve"> Balatonszőlős Sport egyesület</t>
  </si>
  <si>
    <t xml:space="preserve"> Balatonszőlős Darts egyesület</t>
  </si>
  <si>
    <t>Bérleti és lizing díjak</t>
  </si>
  <si>
    <t>Közvetített szolgáltatások</t>
  </si>
  <si>
    <t xml:space="preserve">      1.1. Magánszemélyek kommunális adója</t>
  </si>
  <si>
    <t>Tihany Iskoláért Alapítvány</t>
  </si>
  <si>
    <t>2. Elvonások, befizetések</t>
  </si>
  <si>
    <t>Bakonykarszt-Víz és csatorna támogatás</t>
  </si>
  <si>
    <t>2.5. Lekötött bankbetét megszüntetése</t>
  </si>
  <si>
    <t>Lekötött bankbetét beváltása</t>
  </si>
  <si>
    <t>7. Lekötött bankbetét megszüntetése</t>
  </si>
  <si>
    <t>8. Lekötött bankbetét megszüntetése</t>
  </si>
  <si>
    <t xml:space="preserve">       Közösségi Ház féltető</t>
  </si>
  <si>
    <t xml:space="preserve">      Közösségi Ház kemence</t>
  </si>
  <si>
    <t xml:space="preserve">      Közösségi Ház nyitott szintere</t>
  </si>
  <si>
    <t xml:space="preserve">      Mosó pályázat önrésze</t>
  </si>
  <si>
    <t xml:space="preserve">     Híd készítése (85/2016)</t>
  </si>
  <si>
    <t xml:space="preserve">      Led lámpatest</t>
  </si>
  <si>
    <t xml:space="preserve">      Közösségi Ház Gázkazán</t>
  </si>
  <si>
    <t xml:space="preserve">      Műtrágya szóró</t>
  </si>
  <si>
    <t xml:space="preserve">      Pécselyi iskola tető felújítása tulajdonarányosan</t>
  </si>
  <si>
    <t xml:space="preserve">     Adóságkonszolidációs pályázat-utak felújítása</t>
  </si>
  <si>
    <t xml:space="preserve">     Adóságkonszolidációs pályázat-utak felújítása (pótmunkák)</t>
  </si>
  <si>
    <t>I.MÓDOSÍTÁS</t>
  </si>
  <si>
    <t>ELTÉRÉS</t>
  </si>
  <si>
    <r>
      <t xml:space="preserve">    </t>
    </r>
    <r>
      <rPr>
        <sz val="12"/>
        <rFont val="Times New Roman"/>
        <family val="1"/>
        <charset val="238"/>
      </rPr>
      <t>1.1. Előző év költségvetési maradványának  igénybevétele működési célra</t>
    </r>
  </si>
  <si>
    <t>2017. ÉVI EREDETI</t>
  </si>
  <si>
    <t xml:space="preserve">Falugondnokok egyesülete támogatás </t>
  </si>
  <si>
    <t>Szociális ágazati pótlék 2017</t>
  </si>
  <si>
    <t xml:space="preserve">     Fűnyíró</t>
  </si>
  <si>
    <t xml:space="preserve">    Kisértékű tárgyi eszközök</t>
  </si>
  <si>
    <t>5. Egyéb működési célú támogatások áhb</t>
  </si>
  <si>
    <t>8. Egyéb működési célú támogatások áhk</t>
  </si>
  <si>
    <t>1. Működési célú garancia- és kezességvállalásból származó kifizetés áhb</t>
  </si>
  <si>
    <t>1. Működési célú garancia- és kezességvállalásból származó megtérülések áhk</t>
  </si>
  <si>
    <t xml:space="preserve">    Közfoglalkoztatott támogatás előleg 2018.01-02 hó</t>
  </si>
  <si>
    <t xml:space="preserve">2. Munkaadót terhelő járulékok </t>
  </si>
  <si>
    <t>5.2. Egyéb működési célú támogatások áhb</t>
  </si>
  <si>
    <t>5.4. Egyéb működési célú támogatások áhk</t>
  </si>
  <si>
    <t>5.5. Működési célú visszatérítendő tám.-k, kölcsönök nyújtása áhk</t>
  </si>
  <si>
    <t>1. Felhalmozási célú támogatások áhb</t>
  </si>
  <si>
    <t>3. Felhalmozási célú átvett pénzeszközök áhk</t>
  </si>
  <si>
    <t>3.1. Egyéb felhalmozási célú pénzeszköz átadás áhk</t>
  </si>
  <si>
    <t>4. Működési célú átvett pénzeszközök áhk</t>
  </si>
  <si>
    <t xml:space="preserve">     Sportöltöző és sportpálya felújítása pályázat támogatása</t>
  </si>
  <si>
    <t xml:space="preserve">      Mosó pályázat támogatás</t>
  </si>
  <si>
    <t>AZ ÖNKORMÁNYZAT FŐÖSSZESÍTŐJE</t>
  </si>
  <si>
    <t>BEVÉTELEK ELŐIRÁNYZATA</t>
  </si>
  <si>
    <t xml:space="preserve">ÁLLAMI TÁMOGATÁSOK 2017. ÉV </t>
  </si>
  <si>
    <t xml:space="preserve">MŰKÖDÉSI KIADÁSOK 2017. ÉV </t>
  </si>
  <si>
    <t xml:space="preserve">FELHALMOZÁSI KIADÁSOK 2017. ÉV </t>
  </si>
  <si>
    <t xml:space="preserve"> Az Önkormányzat  működési bevételei és kiadásai  2017. év </t>
  </si>
  <si>
    <t xml:space="preserve"> Az Önkormányzat felhalmozási bevételei és kiadásai  2017. év </t>
  </si>
  <si>
    <t xml:space="preserve">Bevétele és kiadások mérlege 2017. év </t>
  </si>
  <si>
    <t xml:space="preserve"> Az Önkormányzat  kötelező feladatok bevételei és kiadásai  2017. év </t>
  </si>
  <si>
    <t xml:space="preserve"> Az Önkormányzat önként vállalt feladatok bevételei és kiadásai  2017. év </t>
  </si>
  <si>
    <t xml:space="preserve"> Az Önkormányzat állami (államigazgatási) feladatok bevételei és kiadásai  2017. év </t>
  </si>
  <si>
    <t>II.MÓDOSÍTÁS</t>
  </si>
  <si>
    <t>I.MÓD.</t>
  </si>
  <si>
    <t>II.MÓD.</t>
  </si>
  <si>
    <t>Imateriális javak beszerzése</t>
  </si>
  <si>
    <t xml:space="preserve">       Településképi Arculati Kézikönyv </t>
  </si>
  <si>
    <t xml:space="preserve">    Rendezvénysátor1/4 tulajdonrésze</t>
  </si>
  <si>
    <t>A településképi arculati kézikönyv támogatása</t>
  </si>
  <si>
    <t>Polgármesteri illetmény és tiszteletdíj támogatása</t>
  </si>
  <si>
    <t>6.1.Közfoglalkoztatottak támogatás</t>
  </si>
  <si>
    <t>6.2 Víz és csatorna támogatás</t>
  </si>
  <si>
    <t>"Önkormányzati feladatellátást szolgáló fejlesztések támogatása" pályázat, utak felújítása 33/17.04.04</t>
  </si>
  <si>
    <t xml:space="preserve">       Router</t>
  </si>
  <si>
    <t xml:space="preserve">     Sportöltöző és sportpálya felújítása pályázat </t>
  </si>
  <si>
    <t xml:space="preserve">     Sportöltöző és sportpálya felújítása pályázat (öntözőkocsi+szivattyú+bojler)</t>
  </si>
  <si>
    <t xml:space="preserve">"Önkormányzati feladatellátást szolgáló fejlesztések támogatása" pályázat, utak felújítása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</si>
</sst>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mmm\ d/"/>
    <numFmt numFmtId="165" formatCode="#,##0.0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1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0" fillId="0" borderId="6" applyNumberFormat="0" applyFill="0" applyAlignment="0" applyProtection="0"/>
    <xf numFmtId="0" fontId="21" fillId="26" borderId="7" applyNumberFormat="0" applyFont="0" applyAlignment="0" applyProtection="0"/>
    <xf numFmtId="0" fontId="12" fillId="27" borderId="8" applyNumberFormat="0" applyAlignment="0" applyProtection="0"/>
    <xf numFmtId="0" fontId="16" fillId="28" borderId="0" applyNumberFormat="0" applyBorder="0" applyAlignment="0" applyProtection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0" borderId="6" applyNumberFormat="0" applyFill="0" applyAlignment="0" applyProtection="0"/>
    <xf numFmtId="0" fontId="14" fillId="0" borderId="0"/>
    <xf numFmtId="0" fontId="14" fillId="0" borderId="0"/>
    <xf numFmtId="0" fontId="21" fillId="26" borderId="7" applyNumberFormat="0" applyFont="0" applyAlignment="0" applyProtection="0"/>
    <xf numFmtId="0" fontId="12" fillId="27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43" fontId="23" fillId="0" borderId="0" applyFill="0" applyBorder="0" applyAlignment="0" applyProtection="0"/>
    <xf numFmtId="0" fontId="21" fillId="0" borderId="0"/>
    <xf numFmtId="0" fontId="24" fillId="0" borderId="0"/>
  </cellStyleXfs>
  <cellXfs count="329">
    <xf numFmtId="0" fontId="0" fillId="0" borderId="0" xfId="0"/>
    <xf numFmtId="0" fontId="0" fillId="0" borderId="0" xfId="0" applyFont="1"/>
    <xf numFmtId="0" fontId="19" fillId="0" borderId="0" xfId="0" applyFont="1"/>
    <xf numFmtId="3" fontId="19" fillId="0" borderId="0" xfId="0" applyNumberFormat="1" applyFont="1"/>
    <xf numFmtId="0" fontId="25" fillId="0" borderId="0" xfId="50" applyFont="1" applyAlignment="1">
      <alignment horizontal="center" wrapText="1"/>
    </xf>
    <xf numFmtId="0" fontId="26" fillId="0" borderId="0" xfId="50" applyFont="1"/>
    <xf numFmtId="0" fontId="26" fillId="0" borderId="12" xfId="50" applyFont="1" applyBorder="1"/>
    <xf numFmtId="3" fontId="25" fillId="0" borderId="12" xfId="50" applyNumberFormat="1" applyFont="1" applyBorder="1" applyAlignment="1">
      <alignment horizontal="right" wrapText="1"/>
    </xf>
    <xf numFmtId="3" fontId="26" fillId="0" borderId="12" xfId="50" applyNumberFormat="1" applyFont="1" applyBorder="1"/>
    <xf numFmtId="3" fontId="25" fillId="29" borderId="12" xfId="50" applyNumberFormat="1" applyFont="1" applyFill="1" applyBorder="1" applyAlignment="1">
      <alignment horizontal="right" wrapText="1"/>
    </xf>
    <xf numFmtId="0" fontId="26" fillId="29" borderId="12" xfId="50" applyFont="1" applyFill="1" applyBorder="1"/>
    <xf numFmtId="3" fontId="0" fillId="0" borderId="0" xfId="0" applyNumberFormat="1" applyFont="1"/>
    <xf numFmtId="0" fontId="0" fillId="0" borderId="0" xfId="0" applyFont="1" applyFill="1"/>
    <xf numFmtId="0" fontId="19" fillId="0" borderId="0" xfId="0" applyFont="1" applyFill="1"/>
    <xf numFmtId="3" fontId="19" fillId="0" borderId="12" xfId="0" applyNumberFormat="1" applyFont="1" applyFill="1" applyBorder="1" applyAlignment="1">
      <alignment horizontal="right" wrapText="1"/>
    </xf>
    <xf numFmtId="3" fontId="0" fillId="0" borderId="12" xfId="0" applyNumberFormat="1" applyFont="1" applyFill="1" applyBorder="1"/>
    <xf numFmtId="3" fontId="22" fillId="0" borderId="12" xfId="0" applyNumberFormat="1" applyFont="1" applyFill="1" applyBorder="1"/>
    <xf numFmtId="3" fontId="19" fillId="0" borderId="12" xfId="0" applyNumberFormat="1" applyFont="1" applyFill="1" applyBorder="1"/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19" fillId="0" borderId="16" xfId="0" applyNumberFormat="1" applyFont="1" applyFill="1" applyBorder="1"/>
    <xf numFmtId="3" fontId="19" fillId="0" borderId="18" xfId="0" applyNumberFormat="1" applyFont="1" applyFill="1" applyBorder="1"/>
    <xf numFmtId="3" fontId="0" fillId="0" borderId="23" xfId="0" applyNumberFormat="1" applyFont="1" applyFill="1" applyBorder="1"/>
    <xf numFmtId="3" fontId="27" fillId="0" borderId="23" xfId="0" applyNumberFormat="1" applyFont="1" applyFill="1" applyBorder="1"/>
    <xf numFmtId="3" fontId="0" fillId="0" borderId="0" xfId="0" applyNumberFormat="1" applyFont="1" applyFill="1" applyBorder="1"/>
    <xf numFmtId="0" fontId="0" fillId="0" borderId="12" xfId="0" applyFont="1" applyFill="1" applyBorder="1"/>
    <xf numFmtId="0" fontId="19" fillId="0" borderId="12" xfId="0" applyFont="1" applyFill="1" applyBorder="1" applyAlignment="1">
      <alignment horizontal="center" wrapText="1"/>
    </xf>
    <xf numFmtId="3" fontId="0" fillId="0" borderId="12" xfId="0" applyNumberFormat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right"/>
    </xf>
    <xf numFmtId="0" fontId="19" fillId="0" borderId="16" xfId="0" applyFont="1" applyFill="1" applyBorder="1" applyAlignment="1">
      <alignment horizontal="center" wrapText="1"/>
    </xf>
    <xf numFmtId="3" fontId="19" fillId="0" borderId="16" xfId="0" applyNumberFormat="1" applyFont="1" applyFill="1" applyBorder="1" applyAlignment="1">
      <alignment horizontal="right" wrapText="1"/>
    </xf>
    <xf numFmtId="3" fontId="19" fillId="0" borderId="19" xfId="0" applyNumberFormat="1" applyFont="1" applyFill="1" applyBorder="1"/>
    <xf numFmtId="49" fontId="0" fillId="0" borderId="0" xfId="0" applyNumberFormat="1" applyFont="1" applyFill="1" applyAlignment="1">
      <alignment horizontal="left" wrapText="1"/>
    </xf>
    <xf numFmtId="49" fontId="0" fillId="0" borderId="14" xfId="0" applyNumberFormat="1" applyFont="1" applyFill="1" applyBorder="1" applyAlignment="1">
      <alignment horizontal="left" wrapText="1"/>
    </xf>
    <xf numFmtId="49" fontId="19" fillId="0" borderId="14" xfId="0" applyNumberFormat="1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left" wrapText="1"/>
    </xf>
    <xf numFmtId="49" fontId="19" fillId="0" borderId="17" xfId="0" applyNumberFormat="1" applyFont="1" applyFill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3" fontId="25" fillId="0" borderId="12" xfId="50" applyNumberFormat="1" applyFont="1" applyBorder="1"/>
    <xf numFmtId="0" fontId="25" fillId="0" borderId="20" xfId="50" applyFont="1" applyBorder="1" applyAlignment="1">
      <alignment horizontal="center" vertical="center" wrapText="1"/>
    </xf>
    <xf numFmtId="0" fontId="25" fillId="0" borderId="21" xfId="50" applyFont="1" applyBorder="1" applyAlignment="1">
      <alignment horizontal="center" vertical="center" wrapText="1"/>
    </xf>
    <xf numFmtId="0" fontId="26" fillId="0" borderId="14" xfId="50" applyFont="1" applyBorder="1" applyAlignment="1">
      <alignment horizontal="left" wrapText="1"/>
    </xf>
    <xf numFmtId="3" fontId="26" fillId="0" borderId="16" xfId="50" applyNumberFormat="1" applyFont="1" applyBorder="1"/>
    <xf numFmtId="0" fontId="25" fillId="0" borderId="14" xfId="50" applyFont="1" applyBorder="1" applyAlignment="1">
      <alignment horizontal="left" wrapText="1"/>
    </xf>
    <xf numFmtId="3" fontId="25" fillId="0" borderId="16" xfId="50" applyNumberFormat="1" applyFont="1" applyBorder="1"/>
    <xf numFmtId="0" fontId="25" fillId="29" borderId="14" xfId="50" applyFont="1" applyFill="1" applyBorder="1" applyAlignment="1">
      <alignment horizontal="left" wrapText="1"/>
    </xf>
    <xf numFmtId="0" fontId="25" fillId="29" borderId="17" xfId="50" applyFont="1" applyFill="1" applyBorder="1" applyAlignment="1">
      <alignment horizontal="left" wrapText="1"/>
    </xf>
    <xf numFmtId="3" fontId="25" fillId="29" borderId="18" xfId="50" applyNumberFormat="1" applyFont="1" applyFill="1" applyBorder="1" applyAlignment="1">
      <alignment horizontal="right" wrapText="1"/>
    </xf>
    <xf numFmtId="3" fontId="0" fillId="0" borderId="16" xfId="0" applyNumberFormat="1" applyFont="1" applyFill="1" applyBorder="1" applyAlignment="1">
      <alignment horizontal="right" wrapText="1"/>
    </xf>
    <xf numFmtId="0" fontId="26" fillId="0" borderId="0" xfId="50" applyFont="1" applyAlignment="1">
      <alignment horizontal="center" vertical="center"/>
    </xf>
    <xf numFmtId="0" fontId="25" fillId="0" borderId="0" xfId="50" applyFont="1"/>
    <xf numFmtId="0" fontId="25" fillId="29" borderId="0" xfId="50" applyFont="1" applyFill="1" applyBorder="1"/>
    <xf numFmtId="0" fontId="25" fillId="29" borderId="0" xfId="50" applyFont="1" applyFill="1"/>
    <xf numFmtId="0" fontId="26" fillId="0" borderId="0" xfId="50" applyFont="1" applyAlignment="1">
      <alignment wrapText="1"/>
    </xf>
    <xf numFmtId="0" fontId="25" fillId="29" borderId="12" xfId="50" applyFont="1" applyFill="1" applyBorder="1"/>
    <xf numFmtId="0" fontId="25" fillId="0" borderId="21" xfId="50" applyFont="1" applyBorder="1" applyAlignment="1">
      <alignment horizontal="center" vertical="center"/>
    </xf>
    <xf numFmtId="0" fontId="25" fillId="0" borderId="22" xfId="50" applyFont="1" applyBorder="1" applyAlignment="1">
      <alignment horizontal="center" vertical="center"/>
    </xf>
    <xf numFmtId="0" fontId="26" fillId="29" borderId="14" xfId="49" applyFont="1" applyFill="1" applyBorder="1" applyAlignment="1">
      <alignment wrapText="1"/>
    </xf>
    <xf numFmtId="0" fontId="25" fillId="0" borderId="14" xfId="49" applyFont="1" applyBorder="1" applyAlignment="1">
      <alignment horizontal="left" wrapText="1"/>
    </xf>
    <xf numFmtId="3" fontId="26" fillId="0" borderId="14" xfId="43" applyNumberFormat="1" applyFont="1" applyFill="1" applyBorder="1" applyAlignment="1">
      <alignment wrapText="1"/>
    </xf>
    <xf numFmtId="0" fontId="26" fillId="0" borderId="11" xfId="50" applyFont="1" applyBorder="1"/>
    <xf numFmtId="0" fontId="26" fillId="0" borderId="13" xfId="50" applyFont="1" applyBorder="1"/>
    <xf numFmtId="0" fontId="26" fillId="0" borderId="0" xfId="50" applyFont="1" applyBorder="1"/>
    <xf numFmtId="0" fontId="26" fillId="0" borderId="10" xfId="50" applyFont="1" applyBorder="1"/>
    <xf numFmtId="0" fontId="25" fillId="29" borderId="20" xfId="50" applyFont="1" applyFill="1" applyBorder="1" applyAlignment="1">
      <alignment horizontal="center" vertical="center" wrapText="1"/>
    </xf>
    <xf numFmtId="0" fontId="25" fillId="29" borderId="14" xfId="50" applyFont="1" applyFill="1" applyBorder="1" applyAlignment="1">
      <alignment wrapText="1"/>
    </xf>
    <xf numFmtId="0" fontId="26" fillId="29" borderId="14" xfId="50" applyFont="1" applyFill="1" applyBorder="1" applyAlignment="1">
      <alignment wrapText="1"/>
    </xf>
    <xf numFmtId="0" fontId="28" fillId="29" borderId="0" xfId="50" applyFont="1" applyFill="1" applyBorder="1"/>
    <xf numFmtId="164" fontId="26" fillId="29" borderId="14" xfId="49" applyNumberFormat="1" applyFont="1" applyFill="1" applyBorder="1" applyAlignment="1">
      <alignment wrapText="1"/>
    </xf>
    <xf numFmtId="3" fontId="26" fillId="29" borderId="12" xfId="50" applyNumberFormat="1" applyFont="1" applyFill="1" applyBorder="1" applyAlignment="1">
      <alignment horizontal="right" wrapText="1"/>
    </xf>
    <xf numFmtId="0" fontId="29" fillId="29" borderId="12" xfId="50" applyFont="1" applyFill="1" applyBorder="1"/>
    <xf numFmtId="0" fontId="29" fillId="29" borderId="0" xfId="50" applyFont="1" applyFill="1" applyBorder="1"/>
    <xf numFmtId="3" fontId="26" fillId="0" borderId="12" xfId="50" applyNumberFormat="1" applyFont="1" applyFill="1" applyBorder="1" applyAlignment="1">
      <alignment horizontal="right" wrapText="1"/>
    </xf>
    <xf numFmtId="3" fontId="25" fillId="29" borderId="12" xfId="50" applyNumberFormat="1" applyFont="1" applyFill="1" applyBorder="1" applyAlignment="1">
      <alignment vertical="center"/>
    </xf>
    <xf numFmtId="0" fontId="25" fillId="29" borderId="0" xfId="50" applyFont="1" applyFill="1" applyBorder="1" applyAlignment="1">
      <alignment vertical="center"/>
    </xf>
    <xf numFmtId="0" fontId="26" fillId="29" borderId="12" xfId="50" applyFont="1" applyFill="1" applyBorder="1" applyAlignment="1">
      <alignment vertical="center" wrapText="1"/>
    </xf>
    <xf numFmtId="0" fontId="26" fillId="29" borderId="0" xfId="50" applyFont="1" applyFill="1" applyBorder="1" applyAlignment="1">
      <alignment vertical="center" wrapText="1"/>
    </xf>
    <xf numFmtId="0" fontId="26" fillId="29" borderId="12" xfId="50" applyFont="1" applyFill="1" applyBorder="1" applyAlignment="1">
      <alignment vertical="center"/>
    </xf>
    <xf numFmtId="0" fontId="26" fillId="29" borderId="0" xfId="50" applyFont="1" applyFill="1" applyBorder="1" applyAlignment="1">
      <alignment vertical="center"/>
    </xf>
    <xf numFmtId="164" fontId="26" fillId="29" borderId="14" xfId="50" applyNumberFormat="1" applyFont="1" applyFill="1" applyBorder="1" applyAlignment="1">
      <alignment wrapText="1"/>
    </xf>
    <xf numFmtId="0" fontId="26" fillId="29" borderId="14" xfId="49" applyFont="1" applyFill="1" applyBorder="1" applyAlignment="1">
      <alignment horizontal="left" wrapText="1"/>
    </xf>
    <xf numFmtId="0" fontId="25" fillId="29" borderId="14" xfId="49" applyFont="1" applyFill="1" applyBorder="1" applyAlignment="1">
      <alignment wrapText="1"/>
    </xf>
    <xf numFmtId="3" fontId="26" fillId="29" borderId="12" xfId="50" applyNumberFormat="1" applyFont="1" applyFill="1" applyBorder="1" applyAlignment="1">
      <alignment vertical="center"/>
    </xf>
    <xf numFmtId="0" fontId="25" fillId="29" borderId="12" xfId="50" applyFont="1" applyFill="1" applyBorder="1" applyAlignment="1">
      <alignment vertical="center"/>
    </xf>
    <xf numFmtId="3" fontId="25" fillId="29" borderId="0" xfId="50" applyNumberFormat="1" applyFont="1" applyFill="1" applyBorder="1" applyAlignment="1">
      <alignment vertical="center"/>
    </xf>
    <xf numFmtId="0" fontId="26" fillId="0" borderId="14" xfId="50" applyFont="1" applyBorder="1"/>
    <xf numFmtId="0" fontId="26" fillId="0" borderId="17" xfId="50" applyFont="1" applyBorder="1"/>
    <xf numFmtId="3" fontId="25" fillId="29" borderId="18" xfId="50" applyNumberFormat="1" applyFont="1" applyFill="1" applyBorder="1" applyAlignment="1">
      <alignment vertical="center"/>
    </xf>
    <xf numFmtId="3" fontId="26" fillId="0" borderId="0" xfId="50" applyNumberFormat="1" applyFont="1" applyBorder="1"/>
    <xf numFmtId="3" fontId="26" fillId="0" borderId="12" xfId="50" applyNumberFormat="1" applyFont="1" applyFill="1" applyBorder="1"/>
    <xf numFmtId="3" fontId="25" fillId="0" borderId="12" xfId="50" applyNumberFormat="1" applyFont="1" applyFill="1" applyBorder="1" applyAlignment="1">
      <alignment horizontal="right" wrapText="1"/>
    </xf>
    <xf numFmtId="3" fontId="25" fillId="0" borderId="18" xfId="50" applyNumberFormat="1" applyFont="1" applyFill="1" applyBorder="1" applyAlignment="1">
      <alignment horizontal="right" wrapText="1"/>
    </xf>
    <xf numFmtId="0" fontId="25" fillId="0" borderId="20" xfId="50" applyFont="1" applyFill="1" applyBorder="1" applyAlignment="1">
      <alignment horizontal="center" vertical="center" wrapText="1"/>
    </xf>
    <xf numFmtId="0" fontId="25" fillId="0" borderId="14" xfId="50" applyFont="1" applyFill="1" applyBorder="1" applyAlignment="1">
      <alignment horizontal="left" vertical="center" wrapText="1" indent="1"/>
    </xf>
    <xf numFmtId="0" fontId="26" fillId="0" borderId="12" xfId="44" applyFont="1" applyBorder="1"/>
    <xf numFmtId="0" fontId="26" fillId="0" borderId="16" xfId="44" applyFont="1" applyBorder="1"/>
    <xf numFmtId="0" fontId="25" fillId="0" borderId="14" xfId="50" applyFont="1" applyFill="1" applyBorder="1" applyAlignment="1">
      <alignment horizontal="left" vertical="center" wrapText="1" indent="2"/>
    </xf>
    <xf numFmtId="3" fontId="26" fillId="0" borderId="12" xfId="0" applyNumberFormat="1" applyFont="1" applyBorder="1"/>
    <xf numFmtId="0" fontId="26" fillId="0" borderId="14" xfId="50" applyFont="1" applyFill="1" applyBorder="1"/>
    <xf numFmtId="0" fontId="26" fillId="0" borderId="14" xfId="50" applyFont="1" applyFill="1" applyBorder="1" applyAlignment="1">
      <alignment horizontal="left" vertical="center" wrapText="1" indent="2"/>
    </xf>
    <xf numFmtId="0" fontId="26" fillId="0" borderId="14" xfId="50" applyFont="1" applyFill="1" applyBorder="1" applyAlignment="1">
      <alignment horizontal="left" vertical="center" wrapText="1" indent="1"/>
    </xf>
    <xf numFmtId="3" fontId="26" fillId="0" borderId="14" xfId="50" applyNumberFormat="1" applyFont="1" applyFill="1" applyBorder="1" applyAlignment="1">
      <alignment horizontal="left" vertical="center" wrapText="1" indent="1"/>
    </xf>
    <xf numFmtId="3" fontId="26" fillId="0" borderId="12" xfId="44" applyNumberFormat="1" applyFont="1" applyBorder="1"/>
    <xf numFmtId="0" fontId="25" fillId="0" borderId="17" xfId="50" applyFont="1" applyFill="1" applyBorder="1" applyAlignment="1">
      <alignment horizontal="left" vertical="center" wrapText="1" indent="1"/>
    </xf>
    <xf numFmtId="3" fontId="25" fillId="0" borderId="18" xfId="44" applyNumberFormat="1" applyFont="1" applyBorder="1"/>
    <xf numFmtId="3" fontId="25" fillId="0" borderId="20" xfId="43" applyNumberFormat="1" applyFont="1" applyBorder="1" applyAlignment="1">
      <alignment horizontal="center" wrapText="1"/>
    </xf>
    <xf numFmtId="3" fontId="25" fillId="30" borderId="12" xfId="49" applyNumberFormat="1" applyFont="1" applyFill="1" applyBorder="1" applyAlignment="1">
      <alignment horizontal="right" vertical="center" wrapText="1"/>
    </xf>
    <xf numFmtId="3" fontId="26" fillId="0" borderId="12" xfId="86" applyNumberFormat="1" applyFont="1" applyBorder="1"/>
    <xf numFmtId="3" fontId="26" fillId="0" borderId="14" xfId="86" applyNumberFormat="1" applyFont="1" applyBorder="1" applyAlignment="1">
      <alignment horizontal="left" wrapText="1"/>
    </xf>
    <xf numFmtId="3" fontId="26" fillId="30" borderId="12" xfId="49" applyNumberFormat="1" applyFont="1" applyFill="1" applyBorder="1" applyAlignment="1">
      <alignment horizontal="right" vertical="center" wrapText="1"/>
    </xf>
    <xf numFmtId="3" fontId="28" fillId="0" borderId="14" xfId="86" applyNumberFormat="1" applyFont="1" applyBorder="1" applyAlignment="1">
      <alignment horizontal="left" wrapText="1"/>
    </xf>
    <xf numFmtId="3" fontId="28" fillId="30" borderId="12" xfId="49" applyNumberFormat="1" applyFont="1" applyFill="1" applyBorder="1" applyAlignment="1">
      <alignment horizontal="right" vertical="center" wrapText="1"/>
    </xf>
    <xf numFmtId="3" fontId="25" fillId="0" borderId="14" xfId="0" applyNumberFormat="1" applyFont="1" applyFill="1" applyBorder="1" applyAlignment="1">
      <alignment horizontal="left" wrapText="1"/>
    </xf>
    <xf numFmtId="3" fontId="25" fillId="0" borderId="12" xfId="86" applyNumberFormat="1" applyFont="1" applyFill="1" applyBorder="1" applyAlignment="1">
      <alignment horizontal="right"/>
    </xf>
    <xf numFmtId="3" fontId="26" fillId="0" borderId="14" xfId="0" applyNumberFormat="1" applyFont="1" applyFill="1" applyBorder="1" applyAlignment="1">
      <alignment horizontal="left" wrapText="1"/>
    </xf>
    <xf numFmtId="3" fontId="26" fillId="0" borderId="12" xfId="86" applyNumberFormat="1" applyFont="1" applyFill="1" applyBorder="1" applyAlignment="1">
      <alignment horizontal="right"/>
    </xf>
    <xf numFmtId="3" fontId="28" fillId="0" borderId="14" xfId="0" applyNumberFormat="1" applyFont="1" applyFill="1" applyBorder="1" applyAlignment="1">
      <alignment horizontal="left" wrapText="1"/>
    </xf>
    <xf numFmtId="3" fontId="28" fillId="0" borderId="12" xfId="86" applyNumberFormat="1" applyFont="1" applyFill="1" applyBorder="1" applyAlignment="1">
      <alignment horizontal="right"/>
    </xf>
    <xf numFmtId="3" fontId="25" fillId="0" borderId="12" xfId="86" applyNumberFormat="1" applyFont="1" applyFill="1" applyBorder="1" applyAlignment="1"/>
    <xf numFmtId="3" fontId="26" fillId="0" borderId="12" xfId="86" applyNumberFormat="1" applyFont="1" applyFill="1" applyBorder="1"/>
    <xf numFmtId="3" fontId="26" fillId="0" borderId="12" xfId="86" applyNumberFormat="1" applyFont="1" applyFill="1" applyBorder="1" applyAlignment="1"/>
    <xf numFmtId="3" fontId="25" fillId="0" borderId="14" xfId="43" applyNumberFormat="1" applyFont="1" applyBorder="1" applyAlignment="1">
      <alignment wrapText="1"/>
    </xf>
    <xf numFmtId="3" fontId="25" fillId="0" borderId="12" xfId="43" applyNumberFormat="1" applyFont="1" applyFill="1" applyBorder="1" applyAlignment="1"/>
    <xf numFmtId="3" fontId="26" fillId="0" borderId="12" xfId="43" applyNumberFormat="1" applyFont="1" applyFill="1" applyBorder="1" applyAlignment="1"/>
    <xf numFmtId="3" fontId="26" fillId="0" borderId="0" xfId="44" applyNumberFormat="1" applyFont="1"/>
    <xf numFmtId="3" fontId="26" fillId="0" borderId="0" xfId="44" applyNumberFormat="1" applyFont="1" applyAlignment="1">
      <alignment wrapText="1"/>
    </xf>
    <xf numFmtId="3" fontId="25" fillId="0" borderId="20" xfId="44" applyNumberFormat="1" applyFont="1" applyBorder="1" applyAlignment="1">
      <alignment wrapText="1"/>
    </xf>
    <xf numFmtId="3" fontId="25" fillId="0" borderId="21" xfId="44" applyNumberFormat="1" applyFont="1" applyBorder="1" applyAlignment="1">
      <alignment wrapText="1"/>
    </xf>
    <xf numFmtId="3" fontId="26" fillId="29" borderId="14" xfId="50" applyNumberFormat="1" applyFont="1" applyFill="1" applyBorder="1" applyAlignment="1">
      <alignment wrapText="1"/>
    </xf>
    <xf numFmtId="3" fontId="26" fillId="0" borderId="12" xfId="44" applyNumberFormat="1" applyFont="1" applyBorder="1" applyAlignment="1">
      <alignment wrapText="1"/>
    </xf>
    <xf numFmtId="3" fontId="26" fillId="0" borderId="16" xfId="44" applyNumberFormat="1" applyFont="1" applyBorder="1"/>
    <xf numFmtId="3" fontId="26" fillId="0" borderId="14" xfId="44" applyNumberFormat="1" applyFont="1" applyBorder="1" applyAlignment="1">
      <alignment wrapText="1"/>
    </xf>
    <xf numFmtId="3" fontId="26" fillId="29" borderId="14" xfId="49" applyNumberFormat="1" applyFont="1" applyFill="1" applyBorder="1" applyAlignment="1">
      <alignment wrapText="1"/>
    </xf>
    <xf numFmtId="3" fontId="25" fillId="0" borderId="14" xfId="44" applyNumberFormat="1" applyFont="1" applyBorder="1" applyAlignment="1">
      <alignment wrapText="1"/>
    </xf>
    <xf numFmtId="3" fontId="25" fillId="0" borderId="12" xfId="44" applyNumberFormat="1" applyFont="1" applyBorder="1"/>
    <xf numFmtId="3" fontId="25" fillId="0" borderId="12" xfId="44" applyNumberFormat="1" applyFont="1" applyBorder="1" applyAlignment="1">
      <alignment wrapText="1"/>
    </xf>
    <xf numFmtId="3" fontId="25" fillId="0" borderId="16" xfId="44" applyNumberFormat="1" applyFont="1" applyBorder="1"/>
    <xf numFmtId="3" fontId="25" fillId="0" borderId="0" xfId="44" applyNumberFormat="1" applyFont="1"/>
    <xf numFmtId="3" fontId="25" fillId="0" borderId="17" xfId="44" applyNumberFormat="1" applyFont="1" applyBorder="1" applyAlignment="1">
      <alignment wrapText="1"/>
    </xf>
    <xf numFmtId="3" fontId="25" fillId="0" borderId="18" xfId="44" applyNumberFormat="1" applyFont="1" applyBorder="1" applyAlignment="1">
      <alignment wrapText="1"/>
    </xf>
    <xf numFmtId="3" fontId="25" fillId="0" borderId="19" xfId="44" applyNumberFormat="1" applyFont="1" applyBorder="1"/>
    <xf numFmtId="3" fontId="26" fillId="0" borderId="12" xfId="44" applyNumberFormat="1" applyFont="1" applyFill="1" applyBorder="1" applyAlignment="1">
      <alignment wrapText="1"/>
    </xf>
    <xf numFmtId="3" fontId="25" fillId="0" borderId="0" xfId="44" applyNumberFormat="1" applyFont="1" applyBorder="1" applyAlignment="1">
      <alignment wrapText="1"/>
    </xf>
    <xf numFmtId="3" fontId="25" fillId="0" borderId="0" xfId="44" applyNumberFormat="1" applyFont="1" applyBorder="1"/>
    <xf numFmtId="3" fontId="26" fillId="0" borderId="0" xfId="48" applyNumberFormat="1" applyFont="1" applyAlignment="1">
      <alignment wrapText="1"/>
    </xf>
    <xf numFmtId="3" fontId="26" fillId="0" borderId="0" xfId="48" applyNumberFormat="1" applyFont="1"/>
    <xf numFmtId="3" fontId="25" fillId="0" borderId="20" xfId="48" applyNumberFormat="1" applyFont="1" applyBorder="1" applyAlignment="1">
      <alignment wrapText="1"/>
    </xf>
    <xf numFmtId="3" fontId="25" fillId="0" borderId="21" xfId="48" applyNumberFormat="1" applyFont="1" applyBorder="1" applyAlignment="1">
      <alignment wrapText="1"/>
    </xf>
    <xf numFmtId="3" fontId="25" fillId="0" borderId="14" xfId="48" applyNumberFormat="1" applyFont="1" applyBorder="1" applyAlignment="1">
      <alignment wrapText="1"/>
    </xf>
    <xf numFmtId="3" fontId="25" fillId="29" borderId="12" xfId="51" applyNumberFormat="1" applyFont="1" applyFill="1" applyBorder="1" applyAlignment="1">
      <alignment horizontal="center" vertical="center" wrapText="1"/>
    </xf>
    <xf numFmtId="3" fontId="25" fillId="0" borderId="12" xfId="48" applyNumberFormat="1" applyFont="1" applyBorder="1" applyAlignment="1">
      <alignment wrapText="1"/>
    </xf>
    <xf numFmtId="3" fontId="26" fillId="0" borderId="16" xfId="48" applyNumberFormat="1" applyFont="1" applyBorder="1" applyAlignment="1">
      <alignment wrapText="1"/>
    </xf>
    <xf numFmtId="3" fontId="26" fillId="0" borderId="14" xfId="50" applyNumberFormat="1" applyFont="1" applyBorder="1" applyAlignment="1">
      <alignment horizontal="left" wrapText="1"/>
    </xf>
    <xf numFmtId="3" fontId="26" fillId="0" borderId="12" xfId="48" applyNumberFormat="1" applyFont="1" applyBorder="1"/>
    <xf numFmtId="3" fontId="26" fillId="0" borderId="12" xfId="46" applyNumberFormat="1" applyFont="1" applyBorder="1" applyAlignment="1">
      <alignment wrapText="1"/>
    </xf>
    <xf numFmtId="3" fontId="26" fillId="0" borderId="16" xfId="48" applyNumberFormat="1" applyFont="1" applyBorder="1"/>
    <xf numFmtId="3" fontId="26" fillId="0" borderId="14" xfId="46" applyNumberFormat="1" applyFont="1" applyBorder="1" applyAlignment="1">
      <alignment wrapText="1"/>
    </xf>
    <xf numFmtId="3" fontId="26" fillId="29" borderId="12" xfId="51" applyNumberFormat="1" applyFont="1" applyFill="1" applyBorder="1" applyAlignment="1">
      <alignment horizontal="right" wrapText="1"/>
    </xf>
    <xf numFmtId="3" fontId="25" fillId="0" borderId="12" xfId="48" applyNumberFormat="1" applyFont="1" applyBorder="1"/>
    <xf numFmtId="3" fontId="25" fillId="0" borderId="16" xfId="48" applyNumberFormat="1" applyFont="1" applyBorder="1"/>
    <xf numFmtId="3" fontId="25" fillId="0" borderId="0" xfId="48" applyNumberFormat="1" applyFont="1"/>
    <xf numFmtId="3" fontId="26" fillId="0" borderId="14" xfId="48" applyNumberFormat="1" applyFont="1" applyBorder="1" applyAlignment="1">
      <alignment wrapText="1"/>
    </xf>
    <xf numFmtId="3" fontId="26" fillId="0" borderId="12" xfId="48" applyNumberFormat="1" applyFont="1" applyBorder="1" applyAlignment="1">
      <alignment wrapText="1"/>
    </xf>
    <xf numFmtId="3" fontId="26" fillId="0" borderId="12" xfId="46" applyNumberFormat="1" applyFont="1" applyFill="1" applyBorder="1" applyAlignment="1">
      <alignment wrapText="1"/>
    </xf>
    <xf numFmtId="3" fontId="25" fillId="0" borderId="17" xfId="48" applyNumberFormat="1" applyFont="1" applyBorder="1" applyAlignment="1">
      <alignment wrapText="1"/>
    </xf>
    <xf numFmtId="3" fontId="25" fillId="0" borderId="18" xfId="48" applyNumberFormat="1" applyFont="1" applyBorder="1"/>
    <xf numFmtId="3" fontId="25" fillId="0" borderId="18" xfId="48" applyNumberFormat="1" applyFont="1" applyBorder="1" applyAlignment="1">
      <alignment wrapText="1"/>
    </xf>
    <xf numFmtId="3" fontId="26" fillId="0" borderId="18" xfId="48" applyNumberFormat="1" applyFont="1" applyBorder="1"/>
    <xf numFmtId="3" fontId="26" fillId="0" borderId="19" xfId="48" applyNumberFormat="1" applyFont="1" applyBorder="1"/>
    <xf numFmtId="3" fontId="26" fillId="29" borderId="0" xfId="50" applyNumberFormat="1" applyFont="1" applyFill="1" applyBorder="1" applyAlignment="1">
      <alignment horizontal="right" wrapText="1"/>
    </xf>
    <xf numFmtId="3" fontId="26" fillId="0" borderId="0" xfId="86" applyNumberFormat="1" applyFont="1" applyBorder="1"/>
    <xf numFmtId="3" fontId="26" fillId="0" borderId="0" xfId="86" applyNumberFormat="1" applyFont="1" applyFill="1" applyBorder="1"/>
    <xf numFmtId="3" fontId="26" fillId="0" borderId="0" xfId="43" applyNumberFormat="1" applyFont="1" applyAlignment="1">
      <alignment wrapText="1"/>
    </xf>
    <xf numFmtId="3" fontId="26" fillId="0" borderId="0" xfId="43" applyNumberFormat="1" applyFont="1"/>
    <xf numFmtId="3" fontId="31" fillId="0" borderId="0" xfId="43" applyNumberFormat="1" applyFont="1" applyAlignment="1">
      <alignment horizontal="center"/>
    </xf>
    <xf numFmtId="3" fontId="31" fillId="0" borderId="0" xfId="86" applyNumberFormat="1" applyFont="1" applyBorder="1" applyAlignment="1">
      <alignment horizontal="center"/>
    </xf>
    <xf numFmtId="3" fontId="31" fillId="0" borderId="0" xfId="86" applyNumberFormat="1" applyFont="1" applyFill="1" applyBorder="1" applyAlignment="1">
      <alignment horizontal="center"/>
    </xf>
    <xf numFmtId="3" fontId="30" fillId="0" borderId="0" xfId="43" applyNumberFormat="1" applyFont="1" applyFill="1" applyAlignment="1">
      <alignment horizontal="center"/>
    </xf>
    <xf numFmtId="3" fontId="30" fillId="0" borderId="0" xfId="43" applyNumberFormat="1" applyFont="1" applyAlignment="1">
      <alignment horizontal="center"/>
    </xf>
    <xf numFmtId="3" fontId="25" fillId="0" borderId="0" xfId="43" applyNumberFormat="1" applyFont="1" applyFill="1"/>
    <xf numFmtId="3" fontId="25" fillId="0" borderId="12" xfId="43" applyNumberFormat="1" applyFont="1" applyBorder="1"/>
    <xf numFmtId="3" fontId="25" fillId="0" borderId="0" xfId="43" applyNumberFormat="1" applyFont="1"/>
    <xf numFmtId="3" fontId="25" fillId="0" borderId="12" xfId="86" applyNumberFormat="1" applyFont="1" applyFill="1" applyBorder="1"/>
    <xf numFmtId="3" fontId="26" fillId="0" borderId="12" xfId="43" applyNumberFormat="1" applyFont="1" applyBorder="1"/>
    <xf numFmtId="3" fontId="25" fillId="0" borderId="12" xfId="0" applyNumberFormat="1" applyFont="1" applyBorder="1"/>
    <xf numFmtId="3" fontId="26" fillId="0" borderId="0" xfId="50" applyNumberFormat="1" applyFont="1" applyFill="1" applyBorder="1" applyAlignment="1">
      <alignment horizontal="right" wrapText="1"/>
    </xf>
    <xf numFmtId="3" fontId="25" fillId="0" borderId="0" xfId="50" applyNumberFormat="1" applyFont="1" applyFill="1" applyBorder="1" applyAlignment="1">
      <alignment horizontal="right" wrapText="1"/>
    </xf>
    <xf numFmtId="0" fontId="26" fillId="0" borderId="0" xfId="44" applyFont="1"/>
    <xf numFmtId="0" fontId="25" fillId="0" borderId="0" xfId="44" applyFont="1"/>
    <xf numFmtId="0" fontId="25" fillId="0" borderId="0" xfId="50" applyFont="1" applyFill="1" applyBorder="1"/>
    <xf numFmtId="0" fontId="26" fillId="0" borderId="0" xfId="50" applyFont="1" applyFill="1" applyBorder="1"/>
    <xf numFmtId="3" fontId="26" fillId="29" borderId="12" xfId="50" applyNumberFormat="1" applyFont="1" applyFill="1" applyBorder="1"/>
    <xf numFmtId="3" fontId="25" fillId="0" borderId="0" xfId="50" applyNumberFormat="1" applyFont="1"/>
    <xf numFmtId="3" fontId="26" fillId="0" borderId="0" xfId="50" applyNumberFormat="1" applyFont="1"/>
    <xf numFmtId="3" fontId="28" fillId="0" borderId="14" xfId="86" applyNumberFormat="1" applyFont="1" applyFill="1" applyBorder="1" applyAlignment="1">
      <alignment horizontal="left" wrapText="1"/>
    </xf>
    <xf numFmtId="3" fontId="28" fillId="0" borderId="12" xfId="49" applyNumberFormat="1" applyFont="1" applyFill="1" applyBorder="1" applyAlignment="1">
      <alignment horizontal="right" vertical="center" wrapText="1"/>
    </xf>
    <xf numFmtId="3" fontId="25" fillId="0" borderId="18" xfId="43" applyNumberFormat="1" applyFont="1" applyBorder="1" applyAlignment="1">
      <alignment horizontal="right" vertical="center"/>
    </xf>
    <xf numFmtId="3" fontId="25" fillId="0" borderId="16" xfId="86" applyNumberFormat="1" applyFont="1" applyBorder="1" applyAlignment="1">
      <alignment horizontal="right" vertical="center"/>
    </xf>
    <xf numFmtId="3" fontId="31" fillId="0" borderId="0" xfId="43" applyNumberFormat="1" applyFont="1" applyFill="1" applyAlignment="1">
      <alignment horizontal="right" vertical="center"/>
    </xf>
    <xf numFmtId="3" fontId="25" fillId="0" borderId="0" xfId="43" applyNumberFormat="1" applyFont="1" applyFill="1" applyAlignment="1">
      <alignment horizontal="right" vertical="center"/>
    </xf>
    <xf numFmtId="3" fontId="31" fillId="0" borderId="0" xfId="86" applyNumberFormat="1" applyFont="1" applyBorder="1" applyAlignment="1">
      <alignment horizontal="right" vertical="center"/>
    </xf>
    <xf numFmtId="3" fontId="26" fillId="0" borderId="0" xfId="86" applyNumberFormat="1" applyFont="1" applyBorder="1" applyAlignment="1">
      <alignment horizontal="right" vertical="center"/>
    </xf>
    <xf numFmtId="3" fontId="25" fillId="0" borderId="14" xfId="86" applyNumberFormat="1" applyFont="1" applyBorder="1" applyAlignment="1">
      <alignment horizontal="left" vertical="center" wrapText="1"/>
    </xf>
    <xf numFmtId="0" fontId="25" fillId="0" borderId="12" xfId="50" applyFont="1" applyBorder="1" applyAlignment="1">
      <alignment horizontal="center" vertical="center" wrapText="1"/>
    </xf>
    <xf numFmtId="0" fontId="25" fillId="0" borderId="12" xfId="50" applyFont="1" applyBorder="1" applyAlignment="1">
      <alignment horizontal="center" vertical="center"/>
    </xf>
    <xf numFmtId="3" fontId="25" fillId="0" borderId="19" xfId="86" applyNumberFormat="1" applyFont="1" applyBorder="1" applyAlignment="1">
      <alignment horizontal="right" vertical="center"/>
    </xf>
    <xf numFmtId="0" fontId="26" fillId="0" borderId="0" xfId="85" applyFont="1" applyFill="1"/>
    <xf numFmtId="0" fontId="26" fillId="0" borderId="0" xfId="0" applyFont="1"/>
    <xf numFmtId="0" fontId="25" fillId="0" borderId="20" xfId="85" applyFont="1" applyFill="1" applyBorder="1" applyAlignment="1">
      <alignment horizontal="center" vertical="center" wrapText="1"/>
    </xf>
    <xf numFmtId="0" fontId="25" fillId="0" borderId="14" xfId="85" applyFont="1" applyFill="1" applyBorder="1" applyAlignment="1">
      <alignment horizontal="left" vertical="center" wrapText="1"/>
    </xf>
    <xf numFmtId="0" fontId="26" fillId="0" borderId="14" xfId="85" applyFont="1" applyFill="1" applyBorder="1" applyAlignment="1">
      <alignment wrapText="1"/>
    </xf>
    <xf numFmtId="3" fontId="26" fillId="0" borderId="0" xfId="0" applyNumberFormat="1" applyFont="1"/>
    <xf numFmtId="49" fontId="26" fillId="0" borderId="14" xfId="85" applyNumberFormat="1" applyFont="1" applyFill="1" applyBorder="1" applyAlignment="1">
      <alignment wrapText="1"/>
    </xf>
    <xf numFmtId="0" fontId="26" fillId="0" borderId="14" xfId="85" applyFont="1" applyFill="1" applyBorder="1"/>
    <xf numFmtId="0" fontId="25" fillId="0" borderId="14" xfId="49" applyFont="1" applyFill="1" applyBorder="1" applyAlignment="1">
      <alignment horizontal="left" vertical="center" wrapText="1" indent="1"/>
    </xf>
    <xf numFmtId="3" fontId="25" fillId="0" borderId="12" xfId="0" applyNumberFormat="1" applyFont="1" applyFill="1" applyBorder="1"/>
    <xf numFmtId="0" fontId="25" fillId="0" borderId="14" xfId="85" applyFont="1" applyFill="1" applyBorder="1" applyAlignment="1">
      <alignment wrapText="1"/>
    </xf>
    <xf numFmtId="0" fontId="25" fillId="0" borderId="17" xfId="85" applyFont="1" applyFill="1" applyBorder="1"/>
    <xf numFmtId="0" fontId="26" fillId="0" borderId="15" xfId="85" applyFont="1" applyFill="1" applyBorder="1"/>
    <xf numFmtId="0" fontId="25" fillId="0" borderId="0" xfId="85" applyFont="1" applyFill="1"/>
    <xf numFmtId="3" fontId="26" fillId="0" borderId="0" xfId="85" applyNumberFormat="1" applyFont="1" applyFill="1"/>
    <xf numFmtId="0" fontId="25" fillId="0" borderId="0" xfId="50" applyFont="1" applyFill="1" applyBorder="1" applyAlignment="1">
      <alignment horizontal="left" vertical="center" wrapText="1" indent="1"/>
    </xf>
    <xf numFmtId="0" fontId="26" fillId="0" borderId="0" xfId="50" applyFont="1" applyFill="1" applyBorder="1" applyAlignment="1">
      <alignment horizontal="left" vertical="center" wrapText="1" indent="2"/>
    </xf>
    <xf numFmtId="3" fontId="26" fillId="0" borderId="0" xfId="50" applyNumberFormat="1" applyFont="1" applyFill="1" applyBorder="1" applyAlignment="1">
      <alignment horizontal="left" vertical="center" wrapText="1" indent="2"/>
    </xf>
    <xf numFmtId="0" fontId="26" fillId="0" borderId="12" xfId="50" applyFont="1" applyFill="1" applyBorder="1"/>
    <xf numFmtId="0" fontId="25" fillId="0" borderId="14" xfId="45" applyFont="1" applyFill="1" applyBorder="1"/>
    <xf numFmtId="0" fontId="25" fillId="0" borderId="12" xfId="45" applyFont="1" applyFill="1" applyBorder="1"/>
    <xf numFmtId="3" fontId="25" fillId="0" borderId="12" xfId="45" applyNumberFormat="1" applyFont="1" applyFill="1" applyBorder="1"/>
    <xf numFmtId="3" fontId="25" fillId="29" borderId="12" xfId="45" applyNumberFormat="1" applyFont="1" applyFill="1" applyBorder="1"/>
    <xf numFmtId="3" fontId="25" fillId="29" borderId="12" xfId="45" applyNumberFormat="1" applyFont="1" applyFill="1" applyBorder="1" applyAlignment="1">
      <alignment horizontal="right"/>
    </xf>
    <xf numFmtId="3" fontId="25" fillId="29" borderId="16" xfId="45" applyNumberFormat="1" applyFont="1" applyFill="1" applyBorder="1" applyAlignment="1">
      <alignment horizontal="right"/>
    </xf>
    <xf numFmtId="4" fontId="25" fillId="0" borderId="12" xfId="45" applyNumberFormat="1" applyFont="1" applyFill="1" applyBorder="1"/>
    <xf numFmtId="3" fontId="25" fillId="0" borderId="12" xfId="0" applyNumberFormat="1" applyFont="1" applyBorder="1" applyAlignment="1">
      <alignment horizontal="right"/>
    </xf>
    <xf numFmtId="3" fontId="25" fillId="0" borderId="16" xfId="0" applyNumberFormat="1" applyFont="1" applyBorder="1" applyAlignment="1">
      <alignment horizontal="right"/>
    </xf>
    <xf numFmtId="0" fontId="26" fillId="0" borderId="14" xfId="45" applyFont="1" applyFill="1" applyBorder="1"/>
    <xf numFmtId="4" fontId="26" fillId="0" borderId="12" xfId="45" applyNumberFormat="1" applyFont="1" applyFill="1" applyBorder="1"/>
    <xf numFmtId="3" fontId="26" fillId="29" borderId="12" xfId="45" applyNumberFormat="1" applyFont="1" applyFill="1" applyBorder="1"/>
    <xf numFmtId="3" fontId="26" fillId="0" borderId="12" xfId="0" applyNumberFormat="1" applyFont="1" applyBorder="1" applyAlignment="1">
      <alignment horizontal="right"/>
    </xf>
    <xf numFmtId="3" fontId="26" fillId="0" borderId="16" xfId="0" applyNumberFormat="1" applyFont="1" applyBorder="1" applyAlignment="1">
      <alignment horizontal="right"/>
    </xf>
    <xf numFmtId="3" fontId="26" fillId="29" borderId="12" xfId="45" applyNumberFormat="1" applyFont="1" applyFill="1" applyBorder="1" applyAlignment="1">
      <alignment horizontal="right"/>
    </xf>
    <xf numFmtId="0" fontId="25" fillId="0" borderId="14" xfId="47" applyFont="1" applyFill="1" applyBorder="1"/>
    <xf numFmtId="0" fontId="26" fillId="0" borderId="14" xfId="47" applyFont="1" applyFill="1" applyBorder="1"/>
    <xf numFmtId="0" fontId="26" fillId="0" borderId="12" xfId="45" applyFont="1" applyFill="1" applyBorder="1"/>
    <xf numFmtId="3" fontId="26" fillId="0" borderId="12" xfId="45" applyNumberFormat="1" applyFont="1" applyFill="1" applyBorder="1"/>
    <xf numFmtId="165" fontId="26" fillId="29" borderId="12" xfId="45" applyNumberFormat="1" applyFont="1" applyFill="1" applyBorder="1"/>
    <xf numFmtId="3" fontId="26" fillId="0" borderId="12" xfId="45" applyNumberFormat="1" applyFont="1" applyBorder="1"/>
    <xf numFmtId="165" fontId="25" fillId="29" borderId="12" xfId="45" applyNumberFormat="1" applyFont="1" applyFill="1" applyBorder="1"/>
    <xf numFmtId="0" fontId="25" fillId="0" borderId="14" xfId="0" applyFont="1" applyBorder="1"/>
    <xf numFmtId="3" fontId="25" fillId="0" borderId="12" xfId="45" applyNumberFormat="1" applyFont="1" applyBorder="1"/>
    <xf numFmtId="3" fontId="25" fillId="0" borderId="16" xfId="45" applyNumberFormat="1" applyFont="1" applyBorder="1"/>
    <xf numFmtId="0" fontId="26" fillId="0" borderId="14" xfId="0" applyFont="1" applyBorder="1"/>
    <xf numFmtId="3" fontId="25" fillId="29" borderId="16" xfId="45" applyNumberFormat="1" applyFont="1" applyFill="1" applyBorder="1"/>
    <xf numFmtId="0" fontId="26" fillId="0" borderId="14" xfId="45" applyFont="1" applyFill="1" applyBorder="1" applyAlignment="1">
      <alignment wrapText="1"/>
    </xf>
    <xf numFmtId="2" fontId="25" fillId="0" borderId="12" xfId="45" applyNumberFormat="1" applyFont="1" applyFill="1" applyBorder="1"/>
    <xf numFmtId="0" fontId="26" fillId="0" borderId="0" xfId="0" applyFont="1" applyFill="1"/>
    <xf numFmtId="0" fontId="26" fillId="0" borderId="12" xfId="45" applyFont="1" applyBorder="1"/>
    <xf numFmtId="3" fontId="25" fillId="0" borderId="14" xfId="45" applyNumberFormat="1" applyFont="1" applyFill="1" applyBorder="1"/>
    <xf numFmtId="0" fontId="25" fillId="0" borderId="12" xfId="45" applyFont="1" applyBorder="1"/>
    <xf numFmtId="3" fontId="26" fillId="0" borderId="14" xfId="45" applyNumberFormat="1" applyFont="1" applyFill="1" applyBorder="1"/>
    <xf numFmtId="0" fontId="25" fillId="0" borderId="17" xfId="45" applyFont="1" applyFill="1" applyBorder="1"/>
    <xf numFmtId="0" fontId="26" fillId="0" borderId="18" xfId="45" applyFont="1" applyBorder="1"/>
    <xf numFmtId="3" fontId="25" fillId="0" borderId="18" xfId="45" applyNumberFormat="1" applyFont="1" applyBorder="1"/>
    <xf numFmtId="3" fontId="25" fillId="0" borderId="19" xfId="45" applyNumberFormat="1" applyFont="1" applyBorder="1"/>
    <xf numFmtId="3" fontId="25" fillId="29" borderId="12" xfId="50" applyNumberFormat="1" applyFont="1" applyFill="1" applyBorder="1" applyAlignment="1">
      <alignment horizontal="right" vertical="center" wrapText="1"/>
    </xf>
    <xf numFmtId="3" fontId="25" fillId="29" borderId="16" xfId="50" applyNumberFormat="1" applyFont="1" applyFill="1" applyBorder="1" applyAlignment="1">
      <alignment horizontal="right" vertical="center"/>
    </xf>
    <xf numFmtId="3" fontId="26" fillId="29" borderId="12" xfId="50" applyNumberFormat="1" applyFont="1" applyFill="1" applyBorder="1" applyAlignment="1">
      <alignment horizontal="right"/>
    </xf>
    <xf numFmtId="0" fontId="26" fillId="0" borderId="14" xfId="50" applyFont="1" applyFill="1" applyBorder="1" applyAlignment="1">
      <alignment horizontal="left" wrapText="1"/>
    </xf>
    <xf numFmtId="0" fontId="25" fillId="0" borderId="0" xfId="50" applyFont="1" applyFill="1"/>
    <xf numFmtId="0" fontId="25" fillId="0" borderId="14" xfId="50" applyFont="1" applyFill="1" applyBorder="1" applyAlignment="1">
      <alignment horizontal="left" wrapText="1"/>
    </xf>
    <xf numFmtId="0" fontId="26" fillId="0" borderId="0" xfId="50" applyFont="1" applyFill="1"/>
    <xf numFmtId="0" fontId="28" fillId="0" borderId="14" xfId="50" applyFont="1" applyFill="1" applyBorder="1" applyAlignment="1">
      <alignment horizontal="left" wrapText="1"/>
    </xf>
    <xf numFmtId="3" fontId="25" fillId="0" borderId="20" xfId="44" applyNumberFormat="1" applyFont="1" applyBorder="1" applyAlignment="1">
      <alignment horizontal="center" vertical="center" wrapText="1"/>
    </xf>
    <xf numFmtId="3" fontId="25" fillId="0" borderId="21" xfId="44" applyNumberFormat="1" applyFont="1" applyBorder="1" applyAlignment="1">
      <alignment horizontal="center" vertical="center" wrapText="1"/>
    </xf>
    <xf numFmtId="3" fontId="26" fillId="0" borderId="24" xfId="48" applyNumberFormat="1" applyFont="1" applyBorder="1"/>
    <xf numFmtId="3" fontId="25" fillId="0" borderId="19" xfId="48" applyNumberFormat="1" applyFont="1" applyBorder="1"/>
    <xf numFmtId="3" fontId="26" fillId="0" borderId="20" xfId="48" applyNumberFormat="1" applyFont="1" applyBorder="1" applyAlignment="1">
      <alignment wrapText="1"/>
    </xf>
    <xf numFmtId="3" fontId="26" fillId="0" borderId="21" xfId="48" applyNumberFormat="1" applyFont="1" applyBorder="1"/>
    <xf numFmtId="3" fontId="26" fillId="0" borderId="22" xfId="48" applyNumberFormat="1" applyFont="1" applyBorder="1"/>
    <xf numFmtId="3" fontId="25" fillId="29" borderId="18" xfId="51" applyNumberFormat="1" applyFont="1" applyFill="1" applyBorder="1" applyAlignment="1">
      <alignment horizontal="center" vertical="center" wrapText="1"/>
    </xf>
    <xf numFmtId="3" fontId="28" fillId="29" borderId="12" xfId="50" applyNumberFormat="1" applyFont="1" applyFill="1" applyBorder="1" applyAlignment="1">
      <alignment horizontal="right" wrapText="1"/>
    </xf>
    <xf numFmtId="0" fontId="25" fillId="0" borderId="22" xfId="50" applyFont="1" applyBorder="1" applyAlignment="1">
      <alignment horizontal="center" vertical="center"/>
    </xf>
    <xf numFmtId="0" fontId="25" fillId="0" borderId="16" xfId="50" applyFont="1" applyBorder="1" applyAlignment="1">
      <alignment horizontal="center" vertical="center"/>
    </xf>
    <xf numFmtId="3" fontId="26" fillId="0" borderId="16" xfId="86" applyNumberFormat="1" applyFont="1" applyBorder="1" applyAlignment="1">
      <alignment horizontal="right" vertical="center"/>
    </xf>
    <xf numFmtId="3" fontId="25" fillId="0" borderId="12" xfId="49" applyNumberFormat="1" applyFont="1" applyFill="1" applyBorder="1" applyAlignment="1">
      <alignment horizontal="right" wrapText="1"/>
    </xf>
    <xf numFmtId="3" fontId="26" fillId="0" borderId="12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5" fillId="0" borderId="18" xfId="85" applyNumberFormat="1" applyFont="1" applyFill="1" applyBorder="1" applyAlignment="1">
      <alignment horizontal="right"/>
    </xf>
    <xf numFmtId="3" fontId="25" fillId="0" borderId="19" xfId="0" applyNumberFormat="1" applyFont="1" applyBorder="1" applyAlignment="1">
      <alignment horizontal="right"/>
    </xf>
    <xf numFmtId="3" fontId="26" fillId="29" borderId="16" xfId="50" applyNumberFormat="1" applyFont="1" applyFill="1" applyBorder="1" applyAlignment="1">
      <alignment horizontal="right" vertical="center"/>
    </xf>
    <xf numFmtId="3" fontId="26" fillId="29" borderId="19" xfId="50" applyNumberFormat="1" applyFont="1" applyFill="1" applyBorder="1" applyAlignment="1">
      <alignment horizontal="right" vertical="center"/>
    </xf>
    <xf numFmtId="3" fontId="26" fillId="0" borderId="26" xfId="50" applyNumberFormat="1" applyFont="1" applyBorder="1"/>
    <xf numFmtId="3" fontId="25" fillId="0" borderId="26" xfId="50" applyNumberFormat="1" applyFont="1" applyBorder="1"/>
    <xf numFmtId="0" fontId="26" fillId="0" borderId="26" xfId="50" applyFont="1" applyBorder="1"/>
    <xf numFmtId="0" fontId="26" fillId="0" borderId="26" xfId="50" applyFont="1" applyFill="1" applyBorder="1"/>
    <xf numFmtId="3" fontId="26" fillId="0" borderId="14" xfId="86" applyNumberFormat="1" applyFont="1" applyFill="1" applyBorder="1" applyAlignment="1">
      <alignment horizontal="left" wrapText="1"/>
    </xf>
    <xf numFmtId="3" fontId="28" fillId="0" borderId="12" xfId="86" applyNumberFormat="1" applyFont="1" applyBorder="1"/>
    <xf numFmtId="3" fontId="28" fillId="0" borderId="12" xfId="86" applyNumberFormat="1" applyFont="1" applyFill="1" applyBorder="1"/>
    <xf numFmtId="3" fontId="28" fillId="0" borderId="12" xfId="86" quotePrefix="1" applyNumberFormat="1" applyFont="1" applyFill="1" applyBorder="1"/>
    <xf numFmtId="3" fontId="28" fillId="0" borderId="16" xfId="86" applyNumberFormat="1" applyFont="1" applyBorder="1" applyAlignment="1">
      <alignment horizontal="right" vertical="center"/>
    </xf>
    <xf numFmtId="0" fontId="32" fillId="0" borderId="14" xfId="47" applyFont="1" applyFill="1" applyBorder="1"/>
    <xf numFmtId="0" fontId="25" fillId="0" borderId="14" xfId="49" applyFont="1" applyFill="1" applyBorder="1" applyAlignment="1">
      <alignment wrapText="1"/>
    </xf>
    <xf numFmtId="3" fontId="26" fillId="0" borderId="16" xfId="0" applyNumberFormat="1" applyFont="1" applyBorder="1"/>
    <xf numFmtId="3" fontId="25" fillId="0" borderId="16" xfId="0" applyNumberFormat="1" applyFont="1" applyBorder="1"/>
    <xf numFmtId="3" fontId="25" fillId="0" borderId="16" xfId="0" applyNumberFormat="1" applyFont="1" applyFill="1" applyBorder="1"/>
    <xf numFmtId="0" fontId="26" fillId="0" borderId="14" xfId="50" applyFont="1" applyFill="1" applyBorder="1" applyAlignment="1">
      <alignment vertical="center" wrapText="1"/>
    </xf>
    <xf numFmtId="3" fontId="25" fillId="0" borderId="17" xfId="43" applyNumberFormat="1" applyFont="1" applyBorder="1" applyAlignment="1">
      <alignment horizontal="left" vertical="center" wrapText="1"/>
    </xf>
    <xf numFmtId="0" fontId="25" fillId="0" borderId="25" xfId="50" applyFont="1" applyBorder="1" applyAlignment="1">
      <alignment horizontal="center" vertical="center" wrapText="1"/>
    </xf>
    <xf numFmtId="0" fontId="25" fillId="0" borderId="0" xfId="50" applyFont="1" applyBorder="1" applyAlignment="1">
      <alignment horizontal="center" vertical="center"/>
    </xf>
    <xf numFmtId="3" fontId="25" fillId="0" borderId="22" xfId="50" applyNumberFormat="1" applyFont="1" applyBorder="1" applyAlignment="1">
      <alignment horizontal="center" vertical="center"/>
    </xf>
    <xf numFmtId="3" fontId="25" fillId="0" borderId="16" xfId="5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21" xfId="50" applyFont="1" applyBorder="1" applyAlignment="1">
      <alignment horizontal="center" vertical="center"/>
    </xf>
    <xf numFmtId="0" fontId="25" fillId="0" borderId="12" xfId="50" applyFont="1" applyBorder="1" applyAlignment="1">
      <alignment horizontal="center" vertical="center"/>
    </xf>
    <xf numFmtId="0" fontId="25" fillId="0" borderId="20" xfId="45" applyFont="1" applyFill="1" applyBorder="1" applyAlignment="1">
      <alignment horizontal="center" vertical="center"/>
    </xf>
    <xf numFmtId="0" fontId="25" fillId="0" borderId="14" xfId="45" applyFont="1" applyFill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5" fillId="0" borderId="12" xfId="45" applyFont="1" applyBorder="1" applyAlignment="1">
      <alignment horizontal="center" vertical="center"/>
    </xf>
    <xf numFmtId="0" fontId="25" fillId="0" borderId="21" xfId="45" applyFont="1" applyFill="1" applyBorder="1" applyAlignment="1">
      <alignment horizontal="center" vertical="center"/>
    </xf>
    <xf numFmtId="0" fontId="25" fillId="0" borderId="12" xfId="45" applyFont="1" applyFill="1" applyBorder="1" applyAlignment="1">
      <alignment horizontal="center" vertical="center"/>
    </xf>
    <xf numFmtId="0" fontId="25" fillId="29" borderId="21" xfId="45" applyFont="1" applyFill="1" applyBorder="1" applyAlignment="1">
      <alignment horizontal="center" vertical="center"/>
    </xf>
    <xf numFmtId="0" fontId="25" fillId="29" borderId="12" xfId="45" applyFont="1" applyFill="1" applyBorder="1" applyAlignment="1">
      <alignment horizontal="center" vertical="center"/>
    </xf>
    <xf numFmtId="0" fontId="25" fillId="0" borderId="0" xfId="44" applyFont="1" applyBorder="1" applyAlignment="1">
      <alignment horizontal="center" vertical="center"/>
    </xf>
    <xf numFmtId="3" fontId="25" fillId="0" borderId="0" xfId="43" applyNumberFormat="1" applyFont="1" applyBorder="1" applyAlignment="1">
      <alignment horizontal="center" wrapText="1"/>
    </xf>
    <xf numFmtId="3" fontId="25" fillId="0" borderId="0" xfId="44" applyNumberFormat="1" applyFont="1" applyBorder="1" applyAlignment="1">
      <alignment horizontal="center"/>
    </xf>
    <xf numFmtId="3" fontId="25" fillId="0" borderId="0" xfId="48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53"/>
    <cellStyle name="20% - Accent2" xfId="54"/>
    <cellStyle name="20% - Accent3" xfId="55"/>
    <cellStyle name="20% - Accent4" xfId="56"/>
    <cellStyle name="20% - Accent5" xfId="57"/>
    <cellStyle name="20% - Accent6" xfId="58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Calculation" xfId="27"/>
    <cellStyle name="Check Cell" xfId="28"/>
    <cellStyle name="Cím" xfId="2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xplanatory Text" xfId="34"/>
    <cellStyle name="Ezres 2" xfId="35"/>
    <cellStyle name="Ezres 3" xfId="84"/>
    <cellStyle name="Figyelmeztetés" xfId="36" builtinId="11" customBuiltin="1"/>
    <cellStyle name="Good" xfId="37"/>
    <cellStyle name="Heading 1" xfId="71"/>
    <cellStyle name="Heading 2" xfId="72"/>
    <cellStyle name="Heading 3" xfId="73"/>
    <cellStyle name="Heading 4" xfId="74"/>
    <cellStyle name="Hivatkozott cella" xfId="38" builtinId="24" customBuiltin="1"/>
    <cellStyle name="Input" xfId="75"/>
    <cellStyle name="Jegyzet" xfId="39" builtinId="10" customBuiltin="1"/>
    <cellStyle name="Kimenet" xfId="40" builtinId="21" customBuiltin="1"/>
    <cellStyle name="Linked Cell" xfId="76"/>
    <cellStyle name="Neutral" xfId="41"/>
    <cellStyle name="Normál" xfId="0" builtinId="0"/>
    <cellStyle name="Normál 2" xfId="42"/>
    <cellStyle name="Normál_2007_Koncepció táblák" xfId="86"/>
    <cellStyle name="Normál_2007_Koncepció táblák_2013. évi költségvetés I." xfId="43"/>
    <cellStyle name="Normál_2013. évi költségvetés I." xfId="44"/>
    <cellStyle name="Normál_2013. évi költségvetés I._2013. évi költségvetés előirányzat nyilvántartás" xfId="45"/>
    <cellStyle name="Normál_2013. évi költségvetés I._2013. évi költségvetés II. forduló testületi előterjesztés" xfId="46"/>
    <cellStyle name="Normál_2013. évi költségvetés I._iNTÉZMÉNYI NORMATÍVA 2014" xfId="47"/>
    <cellStyle name="Normál_2013. évi költségvetés II. forduló testületi előterjesztés" xfId="48"/>
    <cellStyle name="Normal_KARSZJ3" xfId="77"/>
    <cellStyle name="Normál_költségvetés10melléklet" xfId="85"/>
    <cellStyle name="Normal_KTRSZJ" xfId="78"/>
    <cellStyle name="Normál_Másolat eredetijeKÖLTSÉGVETÉS2005új1" xfId="49"/>
    <cellStyle name="Normál_Másolat eredetijeKÖLTSÉGVETÉS2005új1_2013. évi költségvetés I." xfId="50"/>
    <cellStyle name="Normál_Másolat eredetijeKÖLTSÉGVETÉS2005új1_2013. évi költségvetés II. forduló testületi előterjesztés" xfId="51"/>
    <cellStyle name="Note" xfId="79"/>
    <cellStyle name="Output" xfId="80"/>
    <cellStyle name="Összesen" xfId="52" builtinId="25" customBuiltin="1"/>
    <cellStyle name="Title" xfId="81"/>
    <cellStyle name="Total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4"/>
  <sheetViews>
    <sheetView tabSelected="1" view="pageLayout" topLeftCell="A15" zoomScaleNormal="75" zoomScaleSheetLayoutView="89" workbookViewId="0">
      <selection activeCell="E26" sqref="E26"/>
    </sheetView>
  </sheetViews>
  <sheetFormatPr defaultColWidth="9.140625" defaultRowHeight="15.75" x14ac:dyDescent="0.25"/>
  <cols>
    <col min="1" max="1" width="40.42578125" style="53" customWidth="1"/>
    <col min="2" max="3" width="11.5703125" style="5" bestFit="1" customWidth="1"/>
    <col min="4" max="4" width="12.5703125" style="5" bestFit="1" customWidth="1"/>
    <col min="5" max="5" width="13.5703125" style="5" customWidth="1"/>
    <col min="6" max="7" width="10.85546875" style="5" bestFit="1" customWidth="1"/>
    <col min="8" max="16384" width="9.140625" style="5"/>
  </cols>
  <sheetData>
    <row r="1" spans="1:5" hidden="1" x14ac:dyDescent="0.25">
      <c r="A1" s="4"/>
    </row>
    <row r="2" spans="1:5" hidden="1" x14ac:dyDescent="0.25">
      <c r="A2" s="4"/>
    </row>
    <row r="3" spans="1:5" ht="32.25" customHeight="1" thickBot="1" x14ac:dyDescent="0.3">
      <c r="A3" s="306" t="s">
        <v>349</v>
      </c>
      <c r="B3" s="306"/>
      <c r="C3" s="306"/>
      <c r="D3" s="306"/>
      <c r="E3" s="306"/>
    </row>
    <row r="4" spans="1:5" s="49" customFormat="1" ht="56.25" customHeight="1" x14ac:dyDescent="0.2">
      <c r="A4" s="39" t="s">
        <v>213</v>
      </c>
      <c r="B4" s="40" t="s">
        <v>329</v>
      </c>
      <c r="C4" s="55" t="s">
        <v>361</v>
      </c>
      <c r="D4" s="55" t="s">
        <v>362</v>
      </c>
      <c r="E4" s="56" t="s">
        <v>327</v>
      </c>
    </row>
    <row r="5" spans="1:5" ht="31.5" x14ac:dyDescent="0.25">
      <c r="A5" s="41" t="s">
        <v>4</v>
      </c>
      <c r="B5" s="8">
        <f>'2.sz.tábla'!B5</f>
        <v>25513930</v>
      </c>
      <c r="C5" s="8">
        <f>'2.sz.tábla'!C5</f>
        <v>27233822</v>
      </c>
      <c r="D5" s="8">
        <f>'2.sz.tábla'!D5</f>
        <v>30786309</v>
      </c>
      <c r="E5" s="42">
        <f>D5-C5</f>
        <v>3552487</v>
      </c>
    </row>
    <row r="6" spans="1:5" ht="31.5" x14ac:dyDescent="0.25">
      <c r="A6" s="41" t="s">
        <v>5</v>
      </c>
      <c r="B6" s="8">
        <f>'2.sz.tábla'!B19</f>
        <v>0</v>
      </c>
      <c r="C6" s="8">
        <f>'2.sz.tábla'!C19</f>
        <v>18000000</v>
      </c>
      <c r="D6" s="8">
        <f>'2.sz.tábla'!D19</f>
        <v>28014491</v>
      </c>
      <c r="E6" s="42">
        <f t="shared" ref="E6:E34" si="0">D6-C6</f>
        <v>10014491</v>
      </c>
    </row>
    <row r="7" spans="1:5" ht="21.75" customHeight="1" x14ac:dyDescent="0.25">
      <c r="A7" s="41" t="s">
        <v>6</v>
      </c>
      <c r="B7" s="8">
        <f>'2.sz.tábla'!B28</f>
        <v>11333000</v>
      </c>
      <c r="C7" s="8">
        <f>'2.sz.tábla'!C28</f>
        <v>11333000</v>
      </c>
      <c r="D7" s="8">
        <f>'2.sz.tábla'!D28</f>
        <v>11333000</v>
      </c>
      <c r="E7" s="42">
        <f t="shared" si="0"/>
        <v>0</v>
      </c>
    </row>
    <row r="8" spans="1:5" ht="30" customHeight="1" x14ac:dyDescent="0.25">
      <c r="A8" s="41" t="s">
        <v>7</v>
      </c>
      <c r="B8" s="8">
        <f>'2.sz.tábla'!B41</f>
        <v>3135070</v>
      </c>
      <c r="C8" s="8">
        <f>'2.sz.tábla'!C41</f>
        <v>3135070</v>
      </c>
      <c r="D8" s="8">
        <f>'2.sz.tábla'!D41</f>
        <v>3135070</v>
      </c>
      <c r="E8" s="42">
        <f t="shared" si="0"/>
        <v>0</v>
      </c>
    </row>
    <row r="9" spans="1:5" ht="24.75" customHeight="1" x14ac:dyDescent="0.25">
      <c r="A9" s="41" t="s">
        <v>8</v>
      </c>
      <c r="B9" s="8">
        <f>'2.sz.tábla'!B53</f>
        <v>0</v>
      </c>
      <c r="C9" s="8">
        <f>'2.sz.tábla'!C53</f>
        <v>0</v>
      </c>
      <c r="D9" s="8">
        <f>'2.sz.tábla'!D53</f>
        <v>0</v>
      </c>
      <c r="E9" s="42">
        <f t="shared" si="0"/>
        <v>0</v>
      </c>
    </row>
    <row r="10" spans="1:5" ht="22.5" customHeight="1" x14ac:dyDescent="0.25">
      <c r="A10" s="57" t="s">
        <v>9</v>
      </c>
      <c r="B10" s="8">
        <f>'2.sz.tábla'!B58</f>
        <v>0</v>
      </c>
      <c r="C10" s="8">
        <f>'2.sz.tábla'!C58</f>
        <v>0</v>
      </c>
      <c r="D10" s="8">
        <f>'2.sz.tábla'!D58</f>
        <v>0</v>
      </c>
      <c r="E10" s="42">
        <f t="shared" si="0"/>
        <v>0</v>
      </c>
    </row>
    <row r="11" spans="1:5" ht="23.25" customHeight="1" x14ac:dyDescent="0.25">
      <c r="A11" s="57" t="s">
        <v>10</v>
      </c>
      <c r="B11" s="8">
        <f>'2.sz.tábla'!B62</f>
        <v>0</v>
      </c>
      <c r="C11" s="8">
        <f>'2.sz.tábla'!C62</f>
        <v>0</v>
      </c>
      <c r="D11" s="8">
        <f>'2.sz.tábla'!D62</f>
        <v>0</v>
      </c>
      <c r="E11" s="42">
        <f t="shared" si="0"/>
        <v>0</v>
      </c>
    </row>
    <row r="12" spans="1:5" s="50" customFormat="1" ht="24" customHeight="1" x14ac:dyDescent="0.25">
      <c r="A12" s="43" t="s">
        <v>11</v>
      </c>
      <c r="B12" s="38">
        <f t="shared" ref="B12:D12" si="1">SUM(B5:B11)</f>
        <v>39982000</v>
      </c>
      <c r="C12" s="38">
        <f t="shared" si="1"/>
        <v>59701892</v>
      </c>
      <c r="D12" s="38">
        <f t="shared" si="1"/>
        <v>73268870</v>
      </c>
      <c r="E12" s="44">
        <f t="shared" si="0"/>
        <v>13566978</v>
      </c>
    </row>
    <row r="13" spans="1:5" ht="36" customHeight="1" x14ac:dyDescent="0.25">
      <c r="A13" s="41" t="s">
        <v>219</v>
      </c>
      <c r="B13" s="8">
        <f>'2.sz.tábla'!B67</f>
        <v>33500000</v>
      </c>
      <c r="C13" s="8">
        <f>'2.sz.tábla'!C67</f>
        <v>34311569</v>
      </c>
      <c r="D13" s="8">
        <f>'2.sz.tábla'!D67</f>
        <v>34311569</v>
      </c>
      <c r="E13" s="42">
        <f t="shared" si="0"/>
        <v>0</v>
      </c>
    </row>
    <row r="14" spans="1:5" ht="48.75" customHeight="1" x14ac:dyDescent="0.25">
      <c r="A14" s="41" t="s">
        <v>13</v>
      </c>
      <c r="B14" s="8">
        <f>'2.sz.tábla'!B72</f>
        <v>330000</v>
      </c>
      <c r="C14" s="8">
        <f>'2.sz.tábla'!C72</f>
        <v>897864</v>
      </c>
      <c r="D14" s="8">
        <f>'2.sz.tábla'!D72</f>
        <v>1079274</v>
      </c>
      <c r="E14" s="42">
        <f t="shared" si="0"/>
        <v>181410</v>
      </c>
    </row>
    <row r="15" spans="1:5" s="50" customFormat="1" ht="23.25" customHeight="1" x14ac:dyDescent="0.25">
      <c r="A15" s="58" t="s">
        <v>12</v>
      </c>
      <c r="B15" s="7">
        <f t="shared" ref="B15:D15" si="2">B13+B14</f>
        <v>33830000</v>
      </c>
      <c r="C15" s="7">
        <f t="shared" si="2"/>
        <v>35209433</v>
      </c>
      <c r="D15" s="7">
        <f t="shared" si="2"/>
        <v>35390843</v>
      </c>
      <c r="E15" s="44">
        <f t="shared" si="0"/>
        <v>181410</v>
      </c>
    </row>
    <row r="16" spans="1:5" s="50" customFormat="1" ht="20.25" customHeight="1" x14ac:dyDescent="0.25">
      <c r="A16" s="45" t="s">
        <v>14</v>
      </c>
      <c r="B16" s="9">
        <f>B12+B15</f>
        <v>73812000</v>
      </c>
      <c r="C16" s="9">
        <f>C12+C15</f>
        <v>94911325</v>
      </c>
      <c r="D16" s="9">
        <f>D12+D15</f>
        <v>108659713</v>
      </c>
      <c r="E16" s="44">
        <f t="shared" si="0"/>
        <v>13748388</v>
      </c>
    </row>
    <row r="17" spans="1:11" s="50" customFormat="1" ht="18.75" customHeight="1" x14ac:dyDescent="0.25">
      <c r="A17" s="45"/>
      <c r="B17" s="9"/>
      <c r="C17" s="38"/>
      <c r="D17" s="291"/>
      <c r="E17" s="42">
        <f t="shared" si="0"/>
        <v>0</v>
      </c>
    </row>
    <row r="18" spans="1:11" s="52" customFormat="1" ht="20.100000000000001" customHeight="1" x14ac:dyDescent="0.25">
      <c r="A18" s="43" t="s">
        <v>15</v>
      </c>
      <c r="B18" s="38">
        <f t="shared" ref="B18:D18" si="3">B19</f>
        <v>38761600</v>
      </c>
      <c r="C18" s="38">
        <f t="shared" si="3"/>
        <v>41330966</v>
      </c>
      <c r="D18" s="38">
        <f t="shared" si="3"/>
        <v>41585440</v>
      </c>
      <c r="E18" s="44">
        <f t="shared" si="0"/>
        <v>254474</v>
      </c>
      <c r="F18" s="51"/>
      <c r="G18" s="51"/>
      <c r="H18" s="51"/>
      <c r="I18" s="51"/>
      <c r="J18" s="51"/>
      <c r="K18" s="51"/>
    </row>
    <row r="19" spans="1:11" ht="20.25" customHeight="1" x14ac:dyDescent="0.25">
      <c r="A19" s="41" t="s">
        <v>270</v>
      </c>
      <c r="B19" s="8">
        <f>'3.sz.tábla '!B36</f>
        <v>38761600</v>
      </c>
      <c r="C19" s="8">
        <f>'3.sz.tábla '!C36</f>
        <v>41330966</v>
      </c>
      <c r="D19" s="8">
        <f>'3.sz.tábla '!D36</f>
        <v>41585440</v>
      </c>
      <c r="E19" s="42">
        <f t="shared" si="0"/>
        <v>254474</v>
      </c>
    </row>
    <row r="20" spans="1:11" s="50" customFormat="1" ht="20.100000000000001" customHeight="1" x14ac:dyDescent="0.25">
      <c r="A20" s="43" t="s">
        <v>16</v>
      </c>
      <c r="B20" s="7">
        <f>SUM(B21:B23)</f>
        <v>15946000</v>
      </c>
      <c r="C20" s="7">
        <f>SUM(C21:C23)</f>
        <v>36485286</v>
      </c>
      <c r="D20" s="7">
        <f>SUM(D21:D23)</f>
        <v>49581777</v>
      </c>
      <c r="E20" s="42">
        <f t="shared" si="0"/>
        <v>13096491</v>
      </c>
    </row>
    <row r="21" spans="1:11" ht="20.100000000000001" customHeight="1" x14ac:dyDescent="0.25">
      <c r="A21" s="41" t="s">
        <v>208</v>
      </c>
      <c r="B21" s="8">
        <f>'5. sz. tábla'!B3</f>
        <v>4331000</v>
      </c>
      <c r="C21" s="8">
        <f>'5. sz. tábla'!C3</f>
        <v>9531000</v>
      </c>
      <c r="D21" s="8">
        <f>'5. sz. tábla'!D3</f>
        <v>13663000</v>
      </c>
      <c r="E21" s="42">
        <f t="shared" si="0"/>
        <v>4132000</v>
      </c>
    </row>
    <row r="22" spans="1:11" s="50" customFormat="1" ht="20.100000000000001" customHeight="1" x14ac:dyDescent="0.25">
      <c r="A22" s="41" t="s">
        <v>209</v>
      </c>
      <c r="B22" s="8">
        <f>'5. sz. tábla'!B23</f>
        <v>11615000</v>
      </c>
      <c r="C22" s="8">
        <f>'5. sz. tábla'!C23</f>
        <v>26922636</v>
      </c>
      <c r="D22" s="8">
        <f>'5. sz. tábla'!D23</f>
        <v>35887127</v>
      </c>
      <c r="E22" s="42">
        <f t="shared" si="0"/>
        <v>8964491</v>
      </c>
    </row>
    <row r="23" spans="1:11" ht="20.100000000000001" customHeight="1" x14ac:dyDescent="0.25">
      <c r="A23" s="41" t="s">
        <v>267</v>
      </c>
      <c r="B23" s="8">
        <f>'5. sz. tábla'!B30</f>
        <v>0</v>
      </c>
      <c r="C23" s="8">
        <f>'5. sz. tábla'!C30</f>
        <v>31650</v>
      </c>
      <c r="D23" s="8">
        <f>'5. sz. tábla'!D30</f>
        <v>31650</v>
      </c>
      <c r="E23" s="42">
        <f t="shared" si="0"/>
        <v>0</v>
      </c>
    </row>
    <row r="24" spans="1:11" ht="12.75" customHeight="1" x14ac:dyDescent="0.25">
      <c r="A24" s="43"/>
      <c r="B24" s="8"/>
      <c r="C24" s="6"/>
      <c r="D24" s="292"/>
      <c r="E24" s="42">
        <f t="shared" si="0"/>
        <v>0</v>
      </c>
    </row>
    <row r="25" spans="1:11" s="50" customFormat="1" ht="20.100000000000001" customHeight="1" x14ac:dyDescent="0.25">
      <c r="A25" s="43" t="s">
        <v>17</v>
      </c>
      <c r="B25" s="7">
        <f>B26+B27</f>
        <v>17786400</v>
      </c>
      <c r="C25" s="7">
        <f>C26+C27</f>
        <v>15209209</v>
      </c>
      <c r="D25" s="7">
        <f>D26+D27</f>
        <v>15425222</v>
      </c>
      <c r="E25" s="44">
        <f t="shared" si="0"/>
        <v>216013</v>
      </c>
      <c r="F25" s="193"/>
    </row>
    <row r="26" spans="1:11" s="50" customFormat="1" ht="20.100000000000001" customHeight="1" x14ac:dyDescent="0.25">
      <c r="A26" s="41" t="s">
        <v>18</v>
      </c>
      <c r="B26" s="8">
        <v>17786400</v>
      </c>
      <c r="C26" s="8">
        <v>15028213</v>
      </c>
      <c r="D26" s="290">
        <v>15063230</v>
      </c>
      <c r="E26" s="42">
        <f t="shared" si="0"/>
        <v>35017</v>
      </c>
    </row>
    <row r="27" spans="1:11" s="50" customFormat="1" ht="20.100000000000001" customHeight="1" x14ac:dyDescent="0.25">
      <c r="A27" s="41" t="s">
        <v>19</v>
      </c>
      <c r="B27" s="8"/>
      <c r="C27" s="6">
        <v>180996</v>
      </c>
      <c r="D27" s="292">
        <f>180996*2</f>
        <v>361992</v>
      </c>
      <c r="E27" s="42">
        <f t="shared" si="0"/>
        <v>180996</v>
      </c>
    </row>
    <row r="28" spans="1:11" s="267" customFormat="1" ht="30" customHeight="1" x14ac:dyDescent="0.25">
      <c r="A28" s="270" t="s">
        <v>338</v>
      </c>
      <c r="B28" s="89"/>
      <c r="C28" s="224">
        <v>180996</v>
      </c>
      <c r="D28" s="293">
        <v>180996</v>
      </c>
      <c r="E28" s="42">
        <f t="shared" si="0"/>
        <v>0</v>
      </c>
    </row>
    <row r="29" spans="1:11" s="267" customFormat="1" ht="23.25" customHeight="1" x14ac:dyDescent="0.25">
      <c r="A29" s="268" t="s">
        <v>20</v>
      </c>
      <c r="B29" s="90">
        <f>SUM(B25,B20,B18)</f>
        <v>72494000</v>
      </c>
      <c r="C29" s="90">
        <f>SUM(C25,C20,C18)</f>
        <v>93025461</v>
      </c>
      <c r="D29" s="90">
        <f>SUM(D25,D20,D18)</f>
        <v>106592439</v>
      </c>
      <c r="E29" s="44">
        <f t="shared" si="0"/>
        <v>13566978</v>
      </c>
    </row>
    <row r="30" spans="1:11" s="269" customFormat="1" ht="20.100000000000001" customHeight="1" x14ac:dyDescent="0.25">
      <c r="A30" s="266" t="s">
        <v>312</v>
      </c>
      <c r="B30" s="89">
        <f>'5. sz. tábla'!B33</f>
        <v>0</v>
      </c>
      <c r="C30" s="89">
        <f>'5. sz. tábla'!C33</f>
        <v>0</v>
      </c>
      <c r="D30" s="89">
        <f>'5. sz. tábla'!D33</f>
        <v>0</v>
      </c>
      <c r="E30" s="42">
        <f t="shared" si="0"/>
        <v>0</v>
      </c>
    </row>
    <row r="31" spans="1:11" ht="20.100000000000001" customHeight="1" x14ac:dyDescent="0.25">
      <c r="A31" s="59" t="s">
        <v>96</v>
      </c>
      <c r="B31" s="8">
        <f>'5. sz. tábla'!B34</f>
        <v>0</v>
      </c>
      <c r="C31" s="8">
        <f>'5. sz. tábla'!C34</f>
        <v>0</v>
      </c>
      <c r="D31" s="8">
        <f>'5. sz. tábla'!D34</f>
        <v>0</v>
      </c>
      <c r="E31" s="42">
        <f t="shared" si="0"/>
        <v>0</v>
      </c>
    </row>
    <row r="32" spans="1:11" ht="21" customHeight="1" x14ac:dyDescent="0.25">
      <c r="A32" s="41" t="s">
        <v>226</v>
      </c>
      <c r="B32" s="8">
        <f>'5. sz. tábla'!B35</f>
        <v>1318000</v>
      </c>
      <c r="C32" s="8">
        <f>'5. sz. tábla'!C35</f>
        <v>1885864</v>
      </c>
      <c r="D32" s="8">
        <f>'5. sz. tábla'!D35</f>
        <v>2067274</v>
      </c>
      <c r="E32" s="42">
        <f t="shared" si="0"/>
        <v>181410</v>
      </c>
    </row>
    <row r="33" spans="1:8" s="50" customFormat="1" ht="21.75" customHeight="1" x14ac:dyDescent="0.25">
      <c r="A33" s="43" t="s">
        <v>21</v>
      </c>
      <c r="B33" s="7">
        <f t="shared" ref="B33:D33" si="4">SUM(B30:B32)</f>
        <v>1318000</v>
      </c>
      <c r="C33" s="7">
        <f t="shared" si="4"/>
        <v>1885864</v>
      </c>
      <c r="D33" s="7">
        <f t="shared" si="4"/>
        <v>2067274</v>
      </c>
      <c r="E33" s="44">
        <f t="shared" si="0"/>
        <v>181410</v>
      </c>
    </row>
    <row r="34" spans="1:8" s="50" customFormat="1" ht="20.100000000000001" customHeight="1" thickBot="1" x14ac:dyDescent="0.3">
      <c r="A34" s="46" t="s">
        <v>22</v>
      </c>
      <c r="B34" s="47">
        <f t="shared" ref="B34:D34" si="5">B29+B33</f>
        <v>73812000</v>
      </c>
      <c r="C34" s="47">
        <f t="shared" si="5"/>
        <v>94911325</v>
      </c>
      <c r="D34" s="47">
        <f t="shared" si="5"/>
        <v>108659713</v>
      </c>
      <c r="E34" s="44">
        <f t="shared" si="0"/>
        <v>13748388</v>
      </c>
      <c r="F34" s="192"/>
      <c r="G34" s="192"/>
      <c r="H34" s="192"/>
    </row>
  </sheetData>
  <sheetProtection selectLockedCells="1" selectUnlockedCells="1"/>
  <mergeCells count="1">
    <mergeCell ref="A3:E3"/>
  </mergeCells>
  <phoneticPr fontId="20" type="noConversion"/>
  <printOptions horizontalCentered="1"/>
  <pageMargins left="0.47244094488188981" right="0.59055118110236227" top="1.1023622047244095" bottom="0.19685039370078741" header="0.23622047244094491" footer="0.51181102362204722"/>
  <pageSetup paperSize="9" scale="97" firstPageNumber="0" orientation="portrait" r:id="rId1"/>
  <headerFooter alignWithMargins="0">
    <oddHeader>&amp;C1.melléklet a ….../2017. (…...) önkormányzati rendelet tervezethez
Az önkormányzat 2017. évi költségvetéséről szóló 2/2017. (II.17.) önkormányzati rendelet 1. mellékletének helyébe a következő 1. melléklet lép: &amp;R&amp;P. oldal
 forint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81"/>
  <sheetViews>
    <sheetView view="pageLayout" topLeftCell="A72" zoomScaleNormal="75" zoomScaleSheetLayoutView="89" workbookViewId="0">
      <selection activeCell="D77" sqref="D77"/>
    </sheetView>
  </sheetViews>
  <sheetFormatPr defaultColWidth="9" defaultRowHeight="15.75" x14ac:dyDescent="0.25"/>
  <cols>
    <col min="1" max="1" width="42.85546875" style="62" customWidth="1"/>
    <col min="2" max="4" width="15.28515625" style="62" customWidth="1"/>
    <col min="5" max="5" width="11.140625" style="62" bestFit="1" customWidth="1"/>
    <col min="6" max="8" width="15.28515625" style="62" customWidth="1"/>
    <col min="9" max="16384" width="9" style="62"/>
  </cols>
  <sheetData>
    <row r="1" spans="1:5" ht="16.5" hidden="1" thickBot="1" x14ac:dyDescent="0.3">
      <c r="A1" s="60"/>
      <c r="B1" s="61"/>
    </row>
    <row r="2" spans="1:5" ht="16.5" hidden="1" thickBot="1" x14ac:dyDescent="0.3">
      <c r="A2" s="63"/>
    </row>
    <row r="3" spans="1:5" ht="25.5" customHeight="1" thickBot="1" x14ac:dyDescent="0.3">
      <c r="A3" s="307" t="s">
        <v>350</v>
      </c>
      <c r="B3" s="307"/>
      <c r="C3" s="307"/>
      <c r="D3" s="307"/>
      <c r="E3" s="307"/>
    </row>
    <row r="4" spans="1:5" s="51" customFormat="1" ht="53.25" customHeight="1" x14ac:dyDescent="0.25">
      <c r="A4" s="64" t="s">
        <v>213</v>
      </c>
      <c r="B4" s="40" t="s">
        <v>329</v>
      </c>
      <c r="C4" s="55" t="s">
        <v>326</v>
      </c>
      <c r="D4" s="55" t="s">
        <v>360</v>
      </c>
      <c r="E4" s="280" t="s">
        <v>327</v>
      </c>
    </row>
    <row r="5" spans="1:5" s="51" customFormat="1" ht="31.5" x14ac:dyDescent="0.25">
      <c r="A5" s="65" t="s">
        <v>4</v>
      </c>
      <c r="B5" s="263">
        <f>B6+B12+B13+B14+B15+B16</f>
        <v>25513930</v>
      </c>
      <c r="C5" s="263">
        <f>C6+C12+C13+C14+C15+C16</f>
        <v>27233822</v>
      </c>
      <c r="D5" s="263">
        <f>D6+D12+D13+D14+D15+D16</f>
        <v>30786309</v>
      </c>
      <c r="E5" s="264">
        <f>D5-C5</f>
        <v>3552487</v>
      </c>
    </row>
    <row r="6" spans="1:5" s="67" customFormat="1" ht="21" customHeight="1" x14ac:dyDescent="0.25">
      <c r="A6" s="66" t="s">
        <v>23</v>
      </c>
      <c r="B6" s="69">
        <f>B7+B8+B9</f>
        <v>24701417</v>
      </c>
      <c r="C6" s="69">
        <f>C7+C8+C9+C10</f>
        <v>24791026</v>
      </c>
      <c r="D6" s="69">
        <f>D7+D8+D9+D10</f>
        <v>26866626</v>
      </c>
      <c r="E6" s="288">
        <f t="shared" ref="E6:E71" si="0">D6-C6</f>
        <v>2075600</v>
      </c>
    </row>
    <row r="7" spans="1:5" s="67" customFormat="1" ht="23.25" customHeight="1" x14ac:dyDescent="0.25">
      <c r="A7" s="68" t="s">
        <v>24</v>
      </c>
      <c r="B7" s="69">
        <f>'2a. tábla'!E5</f>
        <v>17352417</v>
      </c>
      <c r="C7" s="69">
        <f>'2a. tábla'!F5</f>
        <v>17352417</v>
      </c>
      <c r="D7" s="69">
        <f>'2a. tábla'!G5</f>
        <v>18352417</v>
      </c>
      <c r="E7" s="288">
        <f t="shared" si="0"/>
        <v>1000000</v>
      </c>
    </row>
    <row r="8" spans="1:5" s="67" customFormat="1" ht="28.35" customHeight="1" x14ac:dyDescent="0.25">
      <c r="A8" s="57" t="s">
        <v>25</v>
      </c>
      <c r="B8" s="69">
        <f>'2a. tábla'!E34</f>
        <v>6149000</v>
      </c>
      <c r="C8" s="69">
        <f>'2a. tábla'!F34</f>
        <v>6238609</v>
      </c>
      <c r="D8" s="69">
        <f>'2a. tábla'!G34</f>
        <v>6238609</v>
      </c>
      <c r="E8" s="288">
        <f t="shared" si="0"/>
        <v>0</v>
      </c>
    </row>
    <row r="9" spans="1:5" s="67" customFormat="1" ht="28.35" customHeight="1" x14ac:dyDescent="0.25">
      <c r="A9" s="57" t="s">
        <v>26</v>
      </c>
      <c r="B9" s="69">
        <f>'2a. tábla'!E44</f>
        <v>1200000</v>
      </c>
      <c r="C9" s="69">
        <f>'2a. tábla'!F44</f>
        <v>1200000</v>
      </c>
      <c r="D9" s="69">
        <f>'2a. tábla'!G44</f>
        <v>1200000</v>
      </c>
      <c r="E9" s="288">
        <f t="shared" si="0"/>
        <v>0</v>
      </c>
    </row>
    <row r="10" spans="1:5" s="51" customFormat="1" ht="28.35" customHeight="1" x14ac:dyDescent="0.25">
      <c r="A10" s="57" t="s">
        <v>0</v>
      </c>
      <c r="B10" s="69"/>
      <c r="C10" s="54"/>
      <c r="D10" s="191">
        <f>'2a. tábla'!G47</f>
        <v>1075600</v>
      </c>
      <c r="E10" s="288">
        <f t="shared" si="0"/>
        <v>1075600</v>
      </c>
    </row>
    <row r="11" spans="1:5" s="51" customFormat="1" x14ac:dyDescent="0.25">
      <c r="A11" s="57" t="s">
        <v>1</v>
      </c>
      <c r="B11" s="69"/>
      <c r="C11" s="54"/>
      <c r="D11" s="54"/>
      <c r="E11" s="288">
        <f t="shared" si="0"/>
        <v>0</v>
      </c>
    </row>
    <row r="12" spans="1:5" s="51" customFormat="1" x14ac:dyDescent="0.25">
      <c r="A12" s="57" t="s">
        <v>223</v>
      </c>
      <c r="B12" s="69"/>
      <c r="C12" s="54"/>
      <c r="D12" s="54"/>
      <c r="E12" s="288">
        <f t="shared" si="0"/>
        <v>0</v>
      </c>
    </row>
    <row r="13" spans="1:5" s="71" customFormat="1" ht="47.25" x14ac:dyDescent="0.25">
      <c r="A13" s="57" t="s">
        <v>27</v>
      </c>
      <c r="B13" s="69"/>
      <c r="C13" s="70"/>
      <c r="D13" s="70"/>
      <c r="E13" s="288">
        <f t="shared" si="0"/>
        <v>0</v>
      </c>
    </row>
    <row r="14" spans="1:5" s="71" customFormat="1" ht="28.35" customHeight="1" x14ac:dyDescent="0.25">
      <c r="A14" s="57" t="s">
        <v>28</v>
      </c>
      <c r="B14" s="69"/>
      <c r="C14" s="70"/>
      <c r="D14" s="70"/>
      <c r="E14" s="288">
        <f t="shared" si="0"/>
        <v>0</v>
      </c>
    </row>
    <row r="15" spans="1:5" s="71" customFormat="1" ht="28.35" customHeight="1" x14ac:dyDescent="0.25">
      <c r="A15" s="57" t="s">
        <v>29</v>
      </c>
      <c r="B15" s="69"/>
      <c r="C15" s="70"/>
      <c r="D15" s="70"/>
      <c r="E15" s="288">
        <f t="shared" si="0"/>
        <v>0</v>
      </c>
    </row>
    <row r="16" spans="1:5" s="51" customFormat="1" ht="28.35" customHeight="1" x14ac:dyDescent="0.25">
      <c r="A16" s="57" t="s">
        <v>30</v>
      </c>
      <c r="B16" s="69">
        <f>B17</f>
        <v>812513</v>
      </c>
      <c r="C16" s="69">
        <f>C17</f>
        <v>2442796</v>
      </c>
      <c r="D16" s="69">
        <f>D17+D18</f>
        <v>3919683</v>
      </c>
      <c r="E16" s="288">
        <f t="shared" si="0"/>
        <v>1476887</v>
      </c>
    </row>
    <row r="17" spans="1:7" s="51" customFormat="1" ht="28.35" customHeight="1" x14ac:dyDescent="0.25">
      <c r="A17" s="57" t="s">
        <v>368</v>
      </c>
      <c r="B17" s="72">
        <v>812513</v>
      </c>
      <c r="C17" s="191">
        <v>2442796</v>
      </c>
      <c r="D17" s="191">
        <f>C17+452491+180996</f>
        <v>3076283</v>
      </c>
      <c r="E17" s="288">
        <f t="shared" si="0"/>
        <v>633487</v>
      </c>
    </row>
    <row r="18" spans="1:7" s="51" customFormat="1" ht="28.35" customHeight="1" x14ac:dyDescent="0.25">
      <c r="A18" s="304" t="s">
        <v>369</v>
      </c>
      <c r="B18" s="72"/>
      <c r="C18" s="191"/>
      <c r="D18" s="191">
        <v>843400</v>
      </c>
      <c r="E18" s="288"/>
    </row>
    <row r="19" spans="1:7" s="51" customFormat="1" ht="28.35" customHeight="1" x14ac:dyDescent="0.25">
      <c r="A19" s="65" t="s">
        <v>5</v>
      </c>
      <c r="B19" s="9">
        <f>B20+B24+B25+B26+B27</f>
        <v>0</v>
      </c>
      <c r="C19" s="9">
        <f>C20+C24+C25+C26+C27</f>
        <v>18000000</v>
      </c>
      <c r="D19" s="9">
        <f>D20+D24+D25+D26+D27+D23</f>
        <v>28014491</v>
      </c>
      <c r="E19" s="264">
        <f t="shared" si="0"/>
        <v>10014491</v>
      </c>
    </row>
    <row r="20" spans="1:7" s="51" customFormat="1" ht="28.35" customHeight="1" x14ac:dyDescent="0.25">
      <c r="A20" s="57" t="s">
        <v>31</v>
      </c>
      <c r="B20" s="69"/>
      <c r="C20" s="69">
        <f>C21+C22</f>
        <v>18000000</v>
      </c>
      <c r="D20" s="69">
        <f>D21+D22</f>
        <v>18000000</v>
      </c>
      <c r="E20" s="288">
        <f>D20-C20</f>
        <v>0</v>
      </c>
      <c r="F20" s="169"/>
      <c r="G20" s="169"/>
    </row>
    <row r="21" spans="1:7" s="51" customFormat="1" ht="28.35" customHeight="1" x14ac:dyDescent="0.25">
      <c r="A21" s="110" t="s">
        <v>348</v>
      </c>
      <c r="B21" s="279"/>
      <c r="C21" s="279">
        <v>5000000</v>
      </c>
      <c r="D21" s="279">
        <v>5000000</v>
      </c>
      <c r="E21" s="288">
        <f t="shared" si="0"/>
        <v>0</v>
      </c>
      <c r="F21" s="169"/>
      <c r="G21" s="169"/>
    </row>
    <row r="22" spans="1:7" s="51" customFormat="1" ht="30.75" customHeight="1" x14ac:dyDescent="0.25">
      <c r="A22" s="116" t="s">
        <v>347</v>
      </c>
      <c r="B22" s="279"/>
      <c r="C22" s="279">
        <v>13000000</v>
      </c>
      <c r="D22" s="279">
        <v>13000000</v>
      </c>
      <c r="E22" s="288">
        <f t="shared" si="0"/>
        <v>0</v>
      </c>
      <c r="F22" s="169"/>
      <c r="G22" s="169"/>
    </row>
    <row r="23" spans="1:7" s="51" customFormat="1" ht="30.75" customHeight="1" x14ac:dyDescent="0.25">
      <c r="A23" s="116" t="s">
        <v>370</v>
      </c>
      <c r="B23" s="279"/>
      <c r="C23" s="279"/>
      <c r="D23" s="279">
        <v>10014491</v>
      </c>
      <c r="E23" s="288"/>
      <c r="F23" s="169"/>
      <c r="G23" s="169"/>
    </row>
    <row r="24" spans="1:7" s="51" customFormat="1" ht="47.25" x14ac:dyDescent="0.25">
      <c r="A24" s="57" t="s">
        <v>32</v>
      </c>
      <c r="B24" s="69"/>
      <c r="C24" s="54"/>
      <c r="D24" s="54"/>
      <c r="E24" s="288">
        <f t="shared" si="0"/>
        <v>0</v>
      </c>
    </row>
    <row r="25" spans="1:7" s="51" customFormat="1" ht="47.25" x14ac:dyDescent="0.25">
      <c r="A25" s="57" t="s">
        <v>33</v>
      </c>
      <c r="B25" s="69"/>
      <c r="C25" s="54"/>
      <c r="D25" s="54"/>
      <c r="E25" s="288">
        <f t="shared" si="0"/>
        <v>0</v>
      </c>
    </row>
    <row r="26" spans="1:7" s="51" customFormat="1" ht="47.25" x14ac:dyDescent="0.25">
      <c r="A26" s="57" t="s">
        <v>34</v>
      </c>
      <c r="B26" s="69"/>
      <c r="C26" s="54"/>
      <c r="D26" s="54"/>
      <c r="E26" s="288">
        <f t="shared" si="0"/>
        <v>0</v>
      </c>
    </row>
    <row r="27" spans="1:7" s="51" customFormat="1" ht="28.35" customHeight="1" x14ac:dyDescent="0.25">
      <c r="A27" s="57" t="s">
        <v>224</v>
      </c>
      <c r="B27" s="69"/>
      <c r="C27" s="54"/>
      <c r="D27" s="54"/>
      <c r="E27" s="288">
        <f t="shared" si="0"/>
        <v>0</v>
      </c>
    </row>
    <row r="28" spans="1:7" s="51" customFormat="1" ht="28.35" customHeight="1" x14ac:dyDescent="0.25">
      <c r="A28" s="65" t="s">
        <v>6</v>
      </c>
      <c r="B28" s="9">
        <f t="shared" ref="B28:D28" si="1">B29+B32+B40</f>
        <v>11333000</v>
      </c>
      <c r="C28" s="9">
        <f t="shared" si="1"/>
        <v>11333000</v>
      </c>
      <c r="D28" s="9">
        <f t="shared" si="1"/>
        <v>11333000</v>
      </c>
      <c r="E28" s="264">
        <f t="shared" si="0"/>
        <v>0</v>
      </c>
    </row>
    <row r="29" spans="1:7" s="51" customFormat="1" ht="18.600000000000001" customHeight="1" x14ac:dyDescent="0.25">
      <c r="A29" s="57" t="s">
        <v>35</v>
      </c>
      <c r="B29" s="69">
        <f t="shared" ref="B29:D29" si="2">SUM(B30:B31)</f>
        <v>5883000</v>
      </c>
      <c r="C29" s="69">
        <f t="shared" si="2"/>
        <v>5883000</v>
      </c>
      <c r="D29" s="69">
        <f t="shared" si="2"/>
        <v>5883000</v>
      </c>
      <c r="E29" s="288">
        <f t="shared" si="0"/>
        <v>0</v>
      </c>
    </row>
    <row r="30" spans="1:7" s="51" customFormat="1" ht="18.600000000000001" customHeight="1" x14ac:dyDescent="0.25">
      <c r="A30" s="66" t="s">
        <v>307</v>
      </c>
      <c r="B30" s="69">
        <v>5583000</v>
      </c>
      <c r="C30" s="191">
        <v>5583000</v>
      </c>
      <c r="D30" s="191">
        <v>5583000</v>
      </c>
      <c r="E30" s="288">
        <f t="shared" si="0"/>
        <v>0</v>
      </c>
    </row>
    <row r="31" spans="1:7" s="51" customFormat="1" ht="18.600000000000001" customHeight="1" x14ac:dyDescent="0.25">
      <c r="A31" s="66" t="s">
        <v>36</v>
      </c>
      <c r="B31" s="69">
        <v>300000</v>
      </c>
      <c r="C31" s="10">
        <v>300000</v>
      </c>
      <c r="D31" s="10">
        <v>300000</v>
      </c>
      <c r="E31" s="288">
        <f t="shared" si="0"/>
        <v>0</v>
      </c>
    </row>
    <row r="32" spans="1:7" s="51" customFormat="1" ht="18.600000000000001" customHeight="1" x14ac:dyDescent="0.25">
      <c r="A32" s="57" t="s">
        <v>37</v>
      </c>
      <c r="B32" s="69">
        <f t="shared" ref="B32:D32" si="3">B33+B35+B36</f>
        <v>5350000</v>
      </c>
      <c r="C32" s="69">
        <f t="shared" si="3"/>
        <v>5350000</v>
      </c>
      <c r="D32" s="69">
        <f t="shared" si="3"/>
        <v>5350000</v>
      </c>
      <c r="E32" s="288">
        <f t="shared" si="0"/>
        <v>0</v>
      </c>
    </row>
    <row r="33" spans="1:5" s="51" customFormat="1" ht="18.600000000000001" customHeight="1" x14ac:dyDescent="0.25">
      <c r="A33" s="57" t="s">
        <v>38</v>
      </c>
      <c r="B33" s="69">
        <f t="shared" ref="B33:D33" si="4">SUM(B34)</f>
        <v>3500000</v>
      </c>
      <c r="C33" s="69">
        <f t="shared" si="4"/>
        <v>3500000</v>
      </c>
      <c r="D33" s="69">
        <f t="shared" si="4"/>
        <v>3500000</v>
      </c>
      <c r="E33" s="288">
        <f t="shared" si="0"/>
        <v>0</v>
      </c>
    </row>
    <row r="34" spans="1:5" s="51" customFormat="1" ht="18.600000000000001" customHeight="1" x14ac:dyDescent="0.25">
      <c r="A34" s="57" t="s">
        <v>39</v>
      </c>
      <c r="B34" s="69">
        <v>3500000</v>
      </c>
      <c r="C34" s="10">
        <v>3500000</v>
      </c>
      <c r="D34" s="10">
        <v>3500000</v>
      </c>
      <c r="E34" s="288">
        <f t="shared" si="0"/>
        <v>0</v>
      </c>
    </row>
    <row r="35" spans="1:5" s="51" customFormat="1" ht="18.600000000000001" customHeight="1" x14ac:dyDescent="0.25">
      <c r="A35" s="57" t="s">
        <v>40</v>
      </c>
      <c r="B35" s="69">
        <v>1800000</v>
      </c>
      <c r="C35" s="10">
        <v>1800000</v>
      </c>
      <c r="D35" s="10">
        <v>1800000</v>
      </c>
      <c r="E35" s="288">
        <f t="shared" si="0"/>
        <v>0</v>
      </c>
    </row>
    <row r="36" spans="1:5" s="51" customFormat="1" ht="18.600000000000001" customHeight="1" x14ac:dyDescent="0.25">
      <c r="A36" s="57" t="s">
        <v>41</v>
      </c>
      <c r="B36" s="69">
        <f>SUM(B37:B39)</f>
        <v>50000</v>
      </c>
      <c r="C36" s="69">
        <f>SUM(C37:C39)</f>
        <v>50000</v>
      </c>
      <c r="D36" s="69">
        <f>SUM(D37:D39)</f>
        <v>50000</v>
      </c>
      <c r="E36" s="288">
        <f t="shared" si="0"/>
        <v>0</v>
      </c>
    </row>
    <row r="37" spans="1:5" s="51" customFormat="1" ht="18.600000000000001" customHeight="1" x14ac:dyDescent="0.25">
      <c r="A37" s="57" t="s">
        <v>42</v>
      </c>
      <c r="B37" s="69">
        <v>50000</v>
      </c>
      <c r="C37" s="10">
        <v>50000</v>
      </c>
      <c r="D37" s="10">
        <v>50000</v>
      </c>
      <c r="E37" s="288">
        <f t="shared" si="0"/>
        <v>0</v>
      </c>
    </row>
    <row r="38" spans="1:5" s="51" customFormat="1" ht="18.600000000000001" customHeight="1" x14ac:dyDescent="0.25">
      <c r="A38" s="57" t="s">
        <v>43</v>
      </c>
      <c r="B38" s="69"/>
      <c r="C38" s="10"/>
      <c r="D38" s="10"/>
      <c r="E38" s="288">
        <f t="shared" si="0"/>
        <v>0</v>
      </c>
    </row>
    <row r="39" spans="1:5" s="51" customFormat="1" ht="18.600000000000001" customHeight="1" x14ac:dyDescent="0.25">
      <c r="A39" s="57" t="s">
        <v>214</v>
      </c>
      <c r="B39" s="69"/>
      <c r="C39" s="10"/>
      <c r="D39" s="10"/>
      <c r="E39" s="288">
        <f t="shared" si="0"/>
        <v>0</v>
      </c>
    </row>
    <row r="40" spans="1:5" s="51" customFormat="1" ht="30.75" customHeight="1" x14ac:dyDescent="0.25">
      <c r="A40" s="57" t="s">
        <v>44</v>
      </c>
      <c r="B40" s="69">
        <v>100000</v>
      </c>
      <c r="C40" s="10">
        <v>100000</v>
      </c>
      <c r="D40" s="10">
        <v>100000</v>
      </c>
      <c r="E40" s="288">
        <f t="shared" si="0"/>
        <v>0</v>
      </c>
    </row>
    <row r="41" spans="1:5" s="51" customFormat="1" ht="28.35" customHeight="1" x14ac:dyDescent="0.25">
      <c r="A41" s="65" t="s">
        <v>7</v>
      </c>
      <c r="B41" s="9">
        <f t="shared" ref="B41:D41" si="5">B42+B43+B45+B46+B48+B49+B50+B51+B52</f>
        <v>3135070</v>
      </c>
      <c r="C41" s="9">
        <f t="shared" si="5"/>
        <v>3135070</v>
      </c>
      <c r="D41" s="9">
        <f t="shared" si="5"/>
        <v>3135070</v>
      </c>
      <c r="E41" s="264">
        <f t="shared" si="0"/>
        <v>0</v>
      </c>
    </row>
    <row r="42" spans="1:5" s="51" customFormat="1" ht="18.600000000000001" customHeight="1" x14ac:dyDescent="0.25">
      <c r="A42" s="66" t="s">
        <v>45</v>
      </c>
      <c r="B42" s="69"/>
      <c r="C42" s="10"/>
      <c r="D42" s="10"/>
      <c r="E42" s="288">
        <f t="shared" si="0"/>
        <v>0</v>
      </c>
    </row>
    <row r="43" spans="1:5" s="74" customFormat="1" ht="18.600000000000001" customHeight="1" x14ac:dyDescent="0.25">
      <c r="A43" s="66" t="s">
        <v>46</v>
      </c>
      <c r="B43" s="69">
        <v>20000</v>
      </c>
      <c r="C43" s="82">
        <v>20000</v>
      </c>
      <c r="D43" s="82">
        <v>20000</v>
      </c>
      <c r="E43" s="288">
        <f t="shared" si="0"/>
        <v>0</v>
      </c>
    </row>
    <row r="44" spans="1:5" s="76" customFormat="1" ht="18.600000000000001" customHeight="1" x14ac:dyDescent="0.25">
      <c r="A44" s="66" t="s">
        <v>97</v>
      </c>
      <c r="B44" s="69"/>
      <c r="C44" s="75"/>
      <c r="D44" s="75"/>
      <c r="E44" s="288">
        <f t="shared" si="0"/>
        <v>0</v>
      </c>
    </row>
    <row r="45" spans="1:5" s="78" customFormat="1" ht="18.600000000000001" customHeight="1" x14ac:dyDescent="0.25">
      <c r="A45" s="57" t="s">
        <v>47</v>
      </c>
      <c r="B45" s="69">
        <v>20000</v>
      </c>
      <c r="C45" s="77">
        <v>20000</v>
      </c>
      <c r="D45" s="77">
        <v>20000</v>
      </c>
      <c r="E45" s="288">
        <f t="shared" si="0"/>
        <v>0</v>
      </c>
    </row>
    <row r="46" spans="1:5" s="78" customFormat="1" ht="18.600000000000001" customHeight="1" x14ac:dyDescent="0.25">
      <c r="A46" s="57" t="s">
        <v>48</v>
      </c>
      <c r="B46" s="69">
        <f t="shared" ref="B46" si="6">B47</f>
        <v>2400000</v>
      </c>
      <c r="C46" s="77">
        <v>2400000</v>
      </c>
      <c r="D46" s="77">
        <v>2400000</v>
      </c>
      <c r="E46" s="288">
        <f t="shared" si="0"/>
        <v>0</v>
      </c>
    </row>
    <row r="47" spans="1:5" s="78" customFormat="1" ht="18.600000000000001" customHeight="1" x14ac:dyDescent="0.25">
      <c r="A47" s="79" t="s">
        <v>243</v>
      </c>
      <c r="B47" s="69">
        <v>2400000</v>
      </c>
      <c r="C47" s="77">
        <v>2400000</v>
      </c>
      <c r="D47" s="77">
        <v>2400000</v>
      </c>
      <c r="E47" s="288">
        <f t="shared" si="0"/>
        <v>0</v>
      </c>
    </row>
    <row r="48" spans="1:5" s="78" customFormat="1" ht="18.600000000000001" customHeight="1" x14ac:dyDescent="0.25">
      <c r="A48" s="79" t="s">
        <v>49</v>
      </c>
      <c r="B48" s="69"/>
      <c r="C48" s="77"/>
      <c r="D48" s="77"/>
      <c r="E48" s="288">
        <f t="shared" si="0"/>
        <v>0</v>
      </c>
    </row>
    <row r="49" spans="1:5" s="78" customFormat="1" ht="18.600000000000001" customHeight="1" x14ac:dyDescent="0.25">
      <c r="A49" s="66" t="s">
        <v>50</v>
      </c>
      <c r="B49" s="69">
        <v>650000</v>
      </c>
      <c r="C49" s="77">
        <v>650000</v>
      </c>
      <c r="D49" s="77">
        <v>650000</v>
      </c>
      <c r="E49" s="288">
        <f t="shared" si="0"/>
        <v>0</v>
      </c>
    </row>
    <row r="50" spans="1:5" s="78" customFormat="1" ht="18.600000000000001" customHeight="1" x14ac:dyDescent="0.25">
      <c r="A50" s="66" t="s">
        <v>51</v>
      </c>
      <c r="B50" s="69">
        <v>1000</v>
      </c>
      <c r="C50" s="77">
        <v>1000</v>
      </c>
      <c r="D50" s="77">
        <v>1000</v>
      </c>
      <c r="E50" s="288">
        <f t="shared" si="0"/>
        <v>0</v>
      </c>
    </row>
    <row r="51" spans="1:5" s="78" customFormat="1" ht="18.600000000000001" customHeight="1" x14ac:dyDescent="0.25">
      <c r="A51" s="66" t="s">
        <v>52</v>
      </c>
      <c r="B51" s="69">
        <f>40769+301+3000</f>
        <v>44070</v>
      </c>
      <c r="C51" s="77">
        <v>44070</v>
      </c>
      <c r="D51" s="77">
        <v>44070</v>
      </c>
      <c r="E51" s="288">
        <f t="shared" si="0"/>
        <v>0</v>
      </c>
    </row>
    <row r="52" spans="1:5" s="78" customFormat="1" ht="33" customHeight="1" x14ac:dyDescent="0.25">
      <c r="A52" s="79" t="s">
        <v>215</v>
      </c>
      <c r="B52" s="69"/>
      <c r="C52" s="77"/>
      <c r="D52" s="77"/>
      <c r="E52" s="288">
        <f t="shared" si="0"/>
        <v>0</v>
      </c>
    </row>
    <row r="53" spans="1:5" s="78" customFormat="1" ht="28.35" customHeight="1" x14ac:dyDescent="0.25">
      <c r="A53" s="65" t="s">
        <v>8</v>
      </c>
      <c r="B53" s="9">
        <f t="shared" ref="B53:D53" si="7">SUM(B54:B57)</f>
        <v>0</v>
      </c>
      <c r="C53" s="9">
        <f t="shared" si="7"/>
        <v>0</v>
      </c>
      <c r="D53" s="9">
        <f t="shared" si="7"/>
        <v>0</v>
      </c>
      <c r="E53" s="264">
        <f t="shared" si="0"/>
        <v>0</v>
      </c>
    </row>
    <row r="54" spans="1:5" s="78" customFormat="1" ht="18.600000000000001" customHeight="1" x14ac:dyDescent="0.25">
      <c r="A54" s="57" t="s">
        <v>53</v>
      </c>
      <c r="B54" s="69"/>
      <c r="C54" s="77"/>
      <c r="D54" s="77"/>
      <c r="E54" s="288">
        <f t="shared" si="0"/>
        <v>0</v>
      </c>
    </row>
    <row r="55" spans="1:5" s="74" customFormat="1" ht="18.600000000000001" customHeight="1" x14ac:dyDescent="0.25">
      <c r="A55" s="57" t="s">
        <v>54</v>
      </c>
      <c r="B55" s="69"/>
      <c r="C55" s="73"/>
      <c r="D55" s="73"/>
      <c r="E55" s="288">
        <f t="shared" si="0"/>
        <v>0</v>
      </c>
    </row>
    <row r="56" spans="1:5" s="74" customFormat="1" ht="18.600000000000001" customHeight="1" x14ac:dyDescent="0.25">
      <c r="A56" s="80" t="s">
        <v>55</v>
      </c>
      <c r="B56" s="69"/>
      <c r="C56" s="73"/>
      <c r="D56" s="73"/>
      <c r="E56" s="288">
        <f t="shared" si="0"/>
        <v>0</v>
      </c>
    </row>
    <row r="57" spans="1:5" s="78" customFormat="1" ht="18.600000000000001" customHeight="1" x14ac:dyDescent="0.25">
      <c r="A57" s="57" t="s">
        <v>56</v>
      </c>
      <c r="B57" s="69"/>
      <c r="C57" s="77"/>
      <c r="D57" s="77"/>
      <c r="E57" s="288">
        <f t="shared" si="0"/>
        <v>0</v>
      </c>
    </row>
    <row r="58" spans="1:5" s="78" customFormat="1" ht="28.35" customHeight="1" x14ac:dyDescent="0.25">
      <c r="A58" s="65" t="s">
        <v>9</v>
      </c>
      <c r="B58" s="9">
        <f t="shared" ref="B58:C58" si="8">SUM(B59:B61)</f>
        <v>0</v>
      </c>
      <c r="C58" s="9">
        <f t="shared" si="8"/>
        <v>0</v>
      </c>
      <c r="D58" s="9">
        <v>0</v>
      </c>
      <c r="E58" s="264">
        <f t="shared" si="0"/>
        <v>0</v>
      </c>
    </row>
    <row r="59" spans="1:5" s="78" customFormat="1" ht="31.5" x14ac:dyDescent="0.25">
      <c r="A59" s="57" t="s">
        <v>337</v>
      </c>
      <c r="B59" s="69"/>
      <c r="C59" s="77"/>
      <c r="D59" s="77"/>
      <c r="E59" s="288">
        <f t="shared" si="0"/>
        <v>0</v>
      </c>
    </row>
    <row r="60" spans="1:5" s="74" customFormat="1" ht="47.25" x14ac:dyDescent="0.25">
      <c r="A60" s="57" t="s">
        <v>57</v>
      </c>
      <c r="B60" s="69"/>
      <c r="C60" s="73"/>
      <c r="D60" s="73"/>
      <c r="E60" s="288">
        <f t="shared" si="0"/>
        <v>0</v>
      </c>
    </row>
    <row r="61" spans="1:5" s="74" customFormat="1" ht="23.25" customHeight="1" x14ac:dyDescent="0.25">
      <c r="A61" s="57" t="s">
        <v>58</v>
      </c>
      <c r="B61" s="69"/>
      <c r="C61" s="73"/>
      <c r="D61" s="73"/>
      <c r="E61" s="288">
        <f t="shared" si="0"/>
        <v>0</v>
      </c>
    </row>
    <row r="62" spans="1:5" s="78" customFormat="1" ht="34.5" customHeight="1" x14ac:dyDescent="0.25">
      <c r="A62" s="81" t="s">
        <v>10</v>
      </c>
      <c r="B62" s="9">
        <f>B63+B64+B65</f>
        <v>0</v>
      </c>
      <c r="C62" s="73">
        <v>0</v>
      </c>
      <c r="D62" s="73">
        <v>0</v>
      </c>
      <c r="E62" s="264">
        <f t="shared" si="0"/>
        <v>0</v>
      </c>
    </row>
    <row r="63" spans="1:5" s="78" customFormat="1" ht="47.25" x14ac:dyDescent="0.25">
      <c r="A63" s="57" t="s">
        <v>59</v>
      </c>
      <c r="B63" s="69"/>
      <c r="C63" s="77"/>
      <c r="D63" s="77"/>
      <c r="E63" s="288">
        <f t="shared" si="0"/>
        <v>0</v>
      </c>
    </row>
    <row r="64" spans="1:5" s="74" customFormat="1" ht="47.25" x14ac:dyDescent="0.25">
      <c r="A64" s="57" t="s">
        <v>60</v>
      </c>
      <c r="B64" s="69"/>
      <c r="C64" s="83"/>
      <c r="D64" s="83"/>
      <c r="E64" s="288">
        <f t="shared" si="0"/>
        <v>0</v>
      </c>
    </row>
    <row r="65" spans="1:7" s="78" customFormat="1" x14ac:dyDescent="0.25">
      <c r="A65" s="57" t="s">
        <v>61</v>
      </c>
      <c r="B65" s="69"/>
      <c r="C65" s="77"/>
      <c r="D65" s="77"/>
      <c r="E65" s="288">
        <f t="shared" si="0"/>
        <v>0</v>
      </c>
    </row>
    <row r="66" spans="1:7" s="78" customFormat="1" ht="28.35" customHeight="1" x14ac:dyDescent="0.25">
      <c r="A66" s="65" t="s">
        <v>11</v>
      </c>
      <c r="B66" s="9">
        <f>B62+B58+B53+B41+B28+B19+B5</f>
        <v>39982000</v>
      </c>
      <c r="C66" s="9">
        <f>C62+C58+C53+C41+C28+C19+C5</f>
        <v>59701892</v>
      </c>
      <c r="D66" s="9">
        <f>D62+D58+D53+D41+D28+D19+D5</f>
        <v>73268870</v>
      </c>
      <c r="E66" s="264">
        <f t="shared" si="0"/>
        <v>13566978</v>
      </c>
    </row>
    <row r="67" spans="1:7" s="74" customFormat="1" ht="31.5" customHeight="1" x14ac:dyDescent="0.25">
      <c r="A67" s="81" t="s">
        <v>62</v>
      </c>
      <c r="B67" s="9">
        <f>SUM(B68:B71)</f>
        <v>33500000</v>
      </c>
      <c r="C67" s="9">
        <f>SUM(C68:C68)</f>
        <v>34311569</v>
      </c>
      <c r="D67" s="9">
        <f>SUM(D68:D68)</f>
        <v>34311569</v>
      </c>
      <c r="E67" s="264">
        <f t="shared" si="0"/>
        <v>0</v>
      </c>
      <c r="F67" s="84"/>
    </row>
    <row r="68" spans="1:7" s="74" customFormat="1" ht="31.5" customHeight="1" x14ac:dyDescent="0.25">
      <c r="A68" s="81" t="s">
        <v>328</v>
      </c>
      <c r="B68" s="72">
        <v>33500000</v>
      </c>
      <c r="C68" s="265">
        <v>34311569</v>
      </c>
      <c r="D68" s="265">
        <v>34311569</v>
      </c>
      <c r="E68" s="288">
        <f t="shared" si="0"/>
        <v>0</v>
      </c>
      <c r="F68" s="84"/>
    </row>
    <row r="69" spans="1:7" s="74" customFormat="1" ht="18.600000000000001" customHeight="1" x14ac:dyDescent="0.25">
      <c r="A69" s="81"/>
      <c r="B69" s="72"/>
      <c r="C69" s="82"/>
      <c r="D69" s="82"/>
      <c r="E69" s="288">
        <f t="shared" si="0"/>
        <v>0</v>
      </c>
      <c r="F69" s="84"/>
    </row>
    <row r="70" spans="1:7" s="74" customFormat="1" ht="18.600000000000001" customHeight="1" x14ac:dyDescent="0.25">
      <c r="A70" s="81"/>
      <c r="B70" s="72"/>
      <c r="C70" s="82"/>
      <c r="D70" s="82"/>
      <c r="E70" s="288">
        <f t="shared" si="0"/>
        <v>0</v>
      </c>
      <c r="F70" s="84"/>
    </row>
    <row r="71" spans="1:7" s="74" customFormat="1" ht="33" customHeight="1" x14ac:dyDescent="0.25">
      <c r="A71" s="57" t="s">
        <v>63</v>
      </c>
      <c r="B71" s="69"/>
      <c r="C71" s="82"/>
      <c r="D71" s="82"/>
      <c r="E71" s="288">
        <f t="shared" si="0"/>
        <v>0</v>
      </c>
    </row>
    <row r="72" spans="1:7" s="78" customFormat="1" ht="47.25" customHeight="1" x14ac:dyDescent="0.25">
      <c r="A72" s="81" t="s">
        <v>64</v>
      </c>
      <c r="B72" s="9">
        <f t="shared" ref="B72:D72" si="9">B74+B73</f>
        <v>330000</v>
      </c>
      <c r="C72" s="9">
        <f t="shared" si="9"/>
        <v>897864</v>
      </c>
      <c r="D72" s="9">
        <f t="shared" si="9"/>
        <v>1079274</v>
      </c>
      <c r="E72" s="264">
        <f t="shared" ref="E72:E79" si="10">D72-C72</f>
        <v>181410</v>
      </c>
    </row>
    <row r="73" spans="1:7" s="78" customFormat="1" ht="18.600000000000001" customHeight="1" x14ac:dyDescent="0.25">
      <c r="A73" s="57" t="s">
        <v>289</v>
      </c>
      <c r="B73" s="69"/>
      <c r="C73" s="82"/>
      <c r="D73" s="82"/>
      <c r="E73" s="288">
        <f t="shared" si="10"/>
        <v>0</v>
      </c>
    </row>
    <row r="74" spans="1:7" s="78" customFormat="1" ht="18.600000000000001" customHeight="1" x14ac:dyDescent="0.25">
      <c r="A74" s="66" t="s">
        <v>291</v>
      </c>
      <c r="B74" s="69">
        <v>330000</v>
      </c>
      <c r="C74" s="82">
        <v>897864</v>
      </c>
      <c r="D74" s="82">
        <f>897864+181410</f>
        <v>1079274</v>
      </c>
      <c r="E74" s="288">
        <f t="shared" si="10"/>
        <v>181410</v>
      </c>
    </row>
    <row r="75" spans="1:7" s="78" customFormat="1" ht="18.600000000000001" customHeight="1" x14ac:dyDescent="0.25">
      <c r="A75" s="66" t="s">
        <v>311</v>
      </c>
      <c r="B75" s="69"/>
      <c r="C75" s="77"/>
      <c r="D75" s="77"/>
      <c r="E75" s="288">
        <f t="shared" si="10"/>
        <v>0</v>
      </c>
    </row>
    <row r="76" spans="1:7" s="74" customFormat="1" ht="27" customHeight="1" x14ac:dyDescent="0.25">
      <c r="A76" s="81" t="s">
        <v>12</v>
      </c>
      <c r="B76" s="9">
        <f>B72+B67</f>
        <v>33830000</v>
      </c>
      <c r="C76" s="9">
        <f>C72+C67</f>
        <v>35209433</v>
      </c>
      <c r="D76" s="9">
        <f>D72+D67</f>
        <v>35390843</v>
      </c>
      <c r="E76" s="264">
        <f t="shared" si="10"/>
        <v>181410</v>
      </c>
    </row>
    <row r="77" spans="1:7" s="74" customFormat="1" ht="28.35" customHeight="1" x14ac:dyDescent="0.25">
      <c r="A77" s="65" t="s">
        <v>65</v>
      </c>
      <c r="B77" s="9">
        <f>B66+B76</f>
        <v>73812000</v>
      </c>
      <c r="C77" s="9">
        <f>C66+C76</f>
        <v>94911325</v>
      </c>
      <c r="D77" s="9">
        <f>D66+D76</f>
        <v>108659713</v>
      </c>
      <c r="E77" s="264">
        <f t="shared" si="10"/>
        <v>13748388</v>
      </c>
      <c r="F77" s="84"/>
      <c r="G77" s="84"/>
    </row>
    <row r="78" spans="1:7" s="74" customFormat="1" ht="18.600000000000001" customHeight="1" x14ac:dyDescent="0.25">
      <c r="A78" s="85" t="s">
        <v>225</v>
      </c>
      <c r="B78" s="9">
        <v>6</v>
      </c>
      <c r="C78" s="83">
        <v>6</v>
      </c>
      <c r="D78" s="83">
        <v>6</v>
      </c>
      <c r="E78" s="288">
        <f t="shared" si="10"/>
        <v>0</v>
      </c>
    </row>
    <row r="79" spans="1:7" s="74" customFormat="1" ht="18.600000000000001" customHeight="1" thickBot="1" x14ac:dyDescent="0.3">
      <c r="A79" s="86" t="s">
        <v>66</v>
      </c>
      <c r="B79" s="47">
        <v>3</v>
      </c>
      <c r="C79" s="87">
        <v>3</v>
      </c>
      <c r="D79" s="87">
        <v>3</v>
      </c>
      <c r="E79" s="289">
        <f t="shared" si="10"/>
        <v>0</v>
      </c>
    </row>
    <row r="81" spans="3:4" x14ac:dyDescent="0.25">
      <c r="C81" s="88"/>
      <c r="D81" s="88"/>
    </row>
  </sheetData>
  <sheetProtection selectLockedCells="1" selectUnlockedCells="1"/>
  <mergeCells count="1">
    <mergeCell ref="A3:E3"/>
  </mergeCells>
  <phoneticPr fontId="20" type="noConversion"/>
  <printOptions horizontalCentered="1" gridLines="1"/>
  <pageMargins left="0.23622047244094491" right="0.23622047244094491" top="1.1811023622047245" bottom="0.23622047244094491" header="0.27559055118110237" footer="0.51181102362204722"/>
  <pageSetup paperSize="9" firstPageNumber="0" fitToHeight="0" orientation="portrait" r:id="rId1"/>
  <headerFooter alignWithMargins="0">
    <oddHeader>&amp;C2. melléklet a ….../2017. (…...) önkormányzati rendelet tervezethez
Az önkormányzat 2017. évi költségvetéséről szóló 2/2017. (II.17.) önkormányzati rendelet 2. mellékletének helyébe a következő 2. melléklet lép: &amp;R&amp;P. oldal
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view="pageLayout" topLeftCell="A22" zoomScaleNormal="100" workbookViewId="0">
      <selection activeCell="J10" sqref="J10"/>
    </sheetView>
  </sheetViews>
  <sheetFormatPr defaultRowHeight="15.75" x14ac:dyDescent="0.25"/>
  <cols>
    <col min="1" max="1" width="70" style="207" customWidth="1"/>
    <col min="2" max="2" width="10.7109375" style="207" customWidth="1"/>
    <col min="3" max="3" width="9.140625" style="207" customWidth="1"/>
    <col min="4" max="4" width="11.28515625" style="207" customWidth="1"/>
    <col min="5" max="5" width="17" style="207" customWidth="1"/>
    <col min="6" max="6" width="16.42578125" style="207" bestFit="1" customWidth="1"/>
    <col min="7" max="7" width="17.42578125" style="211" bestFit="1" customWidth="1"/>
    <col min="8" max="8" width="10.140625" style="207" bestFit="1" customWidth="1"/>
    <col min="9" max="256" width="9.140625" style="207"/>
    <col min="257" max="257" width="77.5703125" style="207" customWidth="1"/>
    <col min="258" max="258" width="8.42578125" style="207" customWidth="1"/>
    <col min="259" max="259" width="9.140625" style="207"/>
    <col min="260" max="260" width="11" style="207" bestFit="1" customWidth="1"/>
    <col min="261" max="261" width="15.28515625" style="207" customWidth="1"/>
    <col min="262" max="512" width="9.140625" style="207"/>
    <col min="513" max="513" width="77.5703125" style="207" customWidth="1"/>
    <col min="514" max="514" width="8.42578125" style="207" customWidth="1"/>
    <col min="515" max="515" width="9.140625" style="207"/>
    <col min="516" max="516" width="11" style="207" bestFit="1" customWidth="1"/>
    <col min="517" max="517" width="15.28515625" style="207" customWidth="1"/>
    <col min="518" max="768" width="9.140625" style="207"/>
    <col min="769" max="769" width="77.5703125" style="207" customWidth="1"/>
    <col min="770" max="770" width="8.42578125" style="207" customWidth="1"/>
    <col min="771" max="771" width="9.140625" style="207"/>
    <col min="772" max="772" width="11" style="207" bestFit="1" customWidth="1"/>
    <col min="773" max="773" width="15.28515625" style="207" customWidth="1"/>
    <col min="774" max="1024" width="9.140625" style="207"/>
    <col min="1025" max="1025" width="77.5703125" style="207" customWidth="1"/>
    <col min="1026" max="1026" width="8.42578125" style="207" customWidth="1"/>
    <col min="1027" max="1027" width="9.140625" style="207"/>
    <col min="1028" max="1028" width="11" style="207" bestFit="1" customWidth="1"/>
    <col min="1029" max="1029" width="15.28515625" style="207" customWidth="1"/>
    <col min="1030" max="1280" width="9.140625" style="207"/>
    <col min="1281" max="1281" width="77.5703125" style="207" customWidth="1"/>
    <col min="1282" max="1282" width="8.42578125" style="207" customWidth="1"/>
    <col min="1283" max="1283" width="9.140625" style="207"/>
    <col min="1284" max="1284" width="11" style="207" bestFit="1" customWidth="1"/>
    <col min="1285" max="1285" width="15.28515625" style="207" customWidth="1"/>
    <col min="1286" max="1536" width="9.140625" style="207"/>
    <col min="1537" max="1537" width="77.5703125" style="207" customWidth="1"/>
    <col min="1538" max="1538" width="8.42578125" style="207" customWidth="1"/>
    <col min="1539" max="1539" width="9.140625" style="207"/>
    <col min="1540" max="1540" width="11" style="207" bestFit="1" customWidth="1"/>
    <col min="1541" max="1541" width="15.28515625" style="207" customWidth="1"/>
    <col min="1542" max="1792" width="9.140625" style="207"/>
    <col min="1793" max="1793" width="77.5703125" style="207" customWidth="1"/>
    <col min="1794" max="1794" width="8.42578125" style="207" customWidth="1"/>
    <col min="1795" max="1795" width="9.140625" style="207"/>
    <col min="1796" max="1796" width="11" style="207" bestFit="1" customWidth="1"/>
    <col min="1797" max="1797" width="15.28515625" style="207" customWidth="1"/>
    <col min="1798" max="2048" width="9.140625" style="207"/>
    <col min="2049" max="2049" width="77.5703125" style="207" customWidth="1"/>
    <col min="2050" max="2050" width="8.42578125" style="207" customWidth="1"/>
    <col min="2051" max="2051" width="9.140625" style="207"/>
    <col min="2052" max="2052" width="11" style="207" bestFit="1" customWidth="1"/>
    <col min="2053" max="2053" width="15.28515625" style="207" customWidth="1"/>
    <col min="2054" max="2304" width="9.140625" style="207"/>
    <col min="2305" max="2305" width="77.5703125" style="207" customWidth="1"/>
    <col min="2306" max="2306" width="8.42578125" style="207" customWidth="1"/>
    <col min="2307" max="2307" width="9.140625" style="207"/>
    <col min="2308" max="2308" width="11" style="207" bestFit="1" customWidth="1"/>
    <col min="2309" max="2309" width="15.28515625" style="207" customWidth="1"/>
    <col min="2310" max="2560" width="9.140625" style="207"/>
    <col min="2561" max="2561" width="77.5703125" style="207" customWidth="1"/>
    <col min="2562" max="2562" width="8.42578125" style="207" customWidth="1"/>
    <col min="2563" max="2563" width="9.140625" style="207"/>
    <col min="2564" max="2564" width="11" style="207" bestFit="1" customWidth="1"/>
    <col min="2565" max="2565" width="15.28515625" style="207" customWidth="1"/>
    <col min="2566" max="2816" width="9.140625" style="207"/>
    <col min="2817" max="2817" width="77.5703125" style="207" customWidth="1"/>
    <col min="2818" max="2818" width="8.42578125" style="207" customWidth="1"/>
    <col min="2819" max="2819" width="9.140625" style="207"/>
    <col min="2820" max="2820" width="11" style="207" bestFit="1" customWidth="1"/>
    <col min="2821" max="2821" width="15.28515625" style="207" customWidth="1"/>
    <col min="2822" max="3072" width="9.140625" style="207"/>
    <col min="3073" max="3073" width="77.5703125" style="207" customWidth="1"/>
    <col min="3074" max="3074" width="8.42578125" style="207" customWidth="1"/>
    <col min="3075" max="3075" width="9.140625" style="207"/>
    <col min="3076" max="3076" width="11" style="207" bestFit="1" customWidth="1"/>
    <col min="3077" max="3077" width="15.28515625" style="207" customWidth="1"/>
    <col min="3078" max="3328" width="9.140625" style="207"/>
    <col min="3329" max="3329" width="77.5703125" style="207" customWidth="1"/>
    <col min="3330" max="3330" width="8.42578125" style="207" customWidth="1"/>
    <col min="3331" max="3331" width="9.140625" style="207"/>
    <col min="3332" max="3332" width="11" style="207" bestFit="1" customWidth="1"/>
    <col min="3333" max="3333" width="15.28515625" style="207" customWidth="1"/>
    <col min="3334" max="3584" width="9.140625" style="207"/>
    <col min="3585" max="3585" width="77.5703125" style="207" customWidth="1"/>
    <col min="3586" max="3586" width="8.42578125" style="207" customWidth="1"/>
    <col min="3587" max="3587" width="9.140625" style="207"/>
    <col min="3588" max="3588" width="11" style="207" bestFit="1" customWidth="1"/>
    <col min="3589" max="3589" width="15.28515625" style="207" customWidth="1"/>
    <col min="3590" max="3840" width="9.140625" style="207"/>
    <col min="3841" max="3841" width="77.5703125" style="207" customWidth="1"/>
    <col min="3842" max="3842" width="8.42578125" style="207" customWidth="1"/>
    <col min="3843" max="3843" width="9.140625" style="207"/>
    <col min="3844" max="3844" width="11" style="207" bestFit="1" customWidth="1"/>
    <col min="3845" max="3845" width="15.28515625" style="207" customWidth="1"/>
    <col min="3846" max="4096" width="9.140625" style="207"/>
    <col min="4097" max="4097" width="77.5703125" style="207" customWidth="1"/>
    <col min="4098" max="4098" width="8.42578125" style="207" customWidth="1"/>
    <col min="4099" max="4099" width="9.140625" style="207"/>
    <col min="4100" max="4100" width="11" style="207" bestFit="1" customWidth="1"/>
    <col min="4101" max="4101" width="15.28515625" style="207" customWidth="1"/>
    <col min="4102" max="4352" width="9.140625" style="207"/>
    <col min="4353" max="4353" width="77.5703125" style="207" customWidth="1"/>
    <col min="4354" max="4354" width="8.42578125" style="207" customWidth="1"/>
    <col min="4355" max="4355" width="9.140625" style="207"/>
    <col min="4356" max="4356" width="11" style="207" bestFit="1" customWidth="1"/>
    <col min="4357" max="4357" width="15.28515625" style="207" customWidth="1"/>
    <col min="4358" max="4608" width="9.140625" style="207"/>
    <col min="4609" max="4609" width="77.5703125" style="207" customWidth="1"/>
    <col min="4610" max="4610" width="8.42578125" style="207" customWidth="1"/>
    <col min="4611" max="4611" width="9.140625" style="207"/>
    <col min="4612" max="4612" width="11" style="207" bestFit="1" customWidth="1"/>
    <col min="4613" max="4613" width="15.28515625" style="207" customWidth="1"/>
    <col min="4614" max="4864" width="9.140625" style="207"/>
    <col min="4865" max="4865" width="77.5703125" style="207" customWidth="1"/>
    <col min="4866" max="4866" width="8.42578125" style="207" customWidth="1"/>
    <col min="4867" max="4867" width="9.140625" style="207"/>
    <col min="4868" max="4868" width="11" style="207" bestFit="1" customWidth="1"/>
    <col min="4869" max="4869" width="15.28515625" style="207" customWidth="1"/>
    <col min="4870" max="5120" width="9.140625" style="207"/>
    <col min="5121" max="5121" width="77.5703125" style="207" customWidth="1"/>
    <col min="5122" max="5122" width="8.42578125" style="207" customWidth="1"/>
    <col min="5123" max="5123" width="9.140625" style="207"/>
    <col min="5124" max="5124" width="11" style="207" bestFit="1" customWidth="1"/>
    <col min="5125" max="5125" width="15.28515625" style="207" customWidth="1"/>
    <col min="5126" max="5376" width="9.140625" style="207"/>
    <col min="5377" max="5377" width="77.5703125" style="207" customWidth="1"/>
    <col min="5378" max="5378" width="8.42578125" style="207" customWidth="1"/>
    <col min="5379" max="5379" width="9.140625" style="207"/>
    <col min="5380" max="5380" width="11" style="207" bestFit="1" customWidth="1"/>
    <col min="5381" max="5381" width="15.28515625" style="207" customWidth="1"/>
    <col min="5382" max="5632" width="9.140625" style="207"/>
    <col min="5633" max="5633" width="77.5703125" style="207" customWidth="1"/>
    <col min="5634" max="5634" width="8.42578125" style="207" customWidth="1"/>
    <col min="5635" max="5635" width="9.140625" style="207"/>
    <col min="5636" max="5636" width="11" style="207" bestFit="1" customWidth="1"/>
    <col min="5637" max="5637" width="15.28515625" style="207" customWidth="1"/>
    <col min="5638" max="5888" width="9.140625" style="207"/>
    <col min="5889" max="5889" width="77.5703125" style="207" customWidth="1"/>
    <col min="5890" max="5890" width="8.42578125" style="207" customWidth="1"/>
    <col min="5891" max="5891" width="9.140625" style="207"/>
    <col min="5892" max="5892" width="11" style="207" bestFit="1" customWidth="1"/>
    <col min="5893" max="5893" width="15.28515625" style="207" customWidth="1"/>
    <col min="5894" max="6144" width="9.140625" style="207"/>
    <col min="6145" max="6145" width="77.5703125" style="207" customWidth="1"/>
    <col min="6146" max="6146" width="8.42578125" style="207" customWidth="1"/>
    <col min="6147" max="6147" width="9.140625" style="207"/>
    <col min="6148" max="6148" width="11" style="207" bestFit="1" customWidth="1"/>
    <col min="6149" max="6149" width="15.28515625" style="207" customWidth="1"/>
    <col min="6150" max="6400" width="9.140625" style="207"/>
    <col min="6401" max="6401" width="77.5703125" style="207" customWidth="1"/>
    <col min="6402" max="6402" width="8.42578125" style="207" customWidth="1"/>
    <col min="6403" max="6403" width="9.140625" style="207"/>
    <col min="6404" max="6404" width="11" style="207" bestFit="1" customWidth="1"/>
    <col min="6405" max="6405" width="15.28515625" style="207" customWidth="1"/>
    <col min="6406" max="6656" width="9.140625" style="207"/>
    <col min="6657" max="6657" width="77.5703125" style="207" customWidth="1"/>
    <col min="6658" max="6658" width="8.42578125" style="207" customWidth="1"/>
    <col min="6659" max="6659" width="9.140625" style="207"/>
    <col min="6660" max="6660" width="11" style="207" bestFit="1" customWidth="1"/>
    <col min="6661" max="6661" width="15.28515625" style="207" customWidth="1"/>
    <col min="6662" max="6912" width="9.140625" style="207"/>
    <col min="6913" max="6913" width="77.5703125" style="207" customWidth="1"/>
    <col min="6914" max="6914" width="8.42578125" style="207" customWidth="1"/>
    <col min="6915" max="6915" width="9.140625" style="207"/>
    <col min="6916" max="6916" width="11" style="207" bestFit="1" customWidth="1"/>
    <col min="6917" max="6917" width="15.28515625" style="207" customWidth="1"/>
    <col min="6918" max="7168" width="9.140625" style="207"/>
    <col min="7169" max="7169" width="77.5703125" style="207" customWidth="1"/>
    <col min="7170" max="7170" width="8.42578125" style="207" customWidth="1"/>
    <col min="7171" max="7171" width="9.140625" style="207"/>
    <col min="7172" max="7172" width="11" style="207" bestFit="1" customWidth="1"/>
    <col min="7173" max="7173" width="15.28515625" style="207" customWidth="1"/>
    <col min="7174" max="7424" width="9.140625" style="207"/>
    <col min="7425" max="7425" width="77.5703125" style="207" customWidth="1"/>
    <col min="7426" max="7426" width="8.42578125" style="207" customWidth="1"/>
    <col min="7427" max="7427" width="9.140625" style="207"/>
    <col min="7428" max="7428" width="11" style="207" bestFit="1" customWidth="1"/>
    <col min="7429" max="7429" width="15.28515625" style="207" customWidth="1"/>
    <col min="7430" max="7680" width="9.140625" style="207"/>
    <col min="7681" max="7681" width="77.5703125" style="207" customWidth="1"/>
    <col min="7682" max="7682" width="8.42578125" style="207" customWidth="1"/>
    <col min="7683" max="7683" width="9.140625" style="207"/>
    <col min="7684" max="7684" width="11" style="207" bestFit="1" customWidth="1"/>
    <col min="7685" max="7685" width="15.28515625" style="207" customWidth="1"/>
    <col min="7686" max="7936" width="9.140625" style="207"/>
    <col min="7937" max="7937" width="77.5703125" style="207" customWidth="1"/>
    <col min="7938" max="7938" width="8.42578125" style="207" customWidth="1"/>
    <col min="7939" max="7939" width="9.140625" style="207"/>
    <col min="7940" max="7940" width="11" style="207" bestFit="1" customWidth="1"/>
    <col min="7941" max="7941" width="15.28515625" style="207" customWidth="1"/>
    <col min="7942" max="8192" width="9.140625" style="207"/>
    <col min="8193" max="8193" width="77.5703125" style="207" customWidth="1"/>
    <col min="8194" max="8194" width="8.42578125" style="207" customWidth="1"/>
    <col min="8195" max="8195" width="9.140625" style="207"/>
    <col min="8196" max="8196" width="11" style="207" bestFit="1" customWidth="1"/>
    <col min="8197" max="8197" width="15.28515625" style="207" customWidth="1"/>
    <col min="8198" max="8448" width="9.140625" style="207"/>
    <col min="8449" max="8449" width="77.5703125" style="207" customWidth="1"/>
    <col min="8450" max="8450" width="8.42578125" style="207" customWidth="1"/>
    <col min="8451" max="8451" width="9.140625" style="207"/>
    <col min="8452" max="8452" width="11" style="207" bestFit="1" customWidth="1"/>
    <col min="8453" max="8453" width="15.28515625" style="207" customWidth="1"/>
    <col min="8454" max="8704" width="9.140625" style="207"/>
    <col min="8705" max="8705" width="77.5703125" style="207" customWidth="1"/>
    <col min="8706" max="8706" width="8.42578125" style="207" customWidth="1"/>
    <col min="8707" max="8707" width="9.140625" style="207"/>
    <col min="8708" max="8708" width="11" style="207" bestFit="1" customWidth="1"/>
    <col min="8709" max="8709" width="15.28515625" style="207" customWidth="1"/>
    <col min="8710" max="8960" width="9.140625" style="207"/>
    <col min="8961" max="8961" width="77.5703125" style="207" customWidth="1"/>
    <col min="8962" max="8962" width="8.42578125" style="207" customWidth="1"/>
    <col min="8963" max="8963" width="9.140625" style="207"/>
    <col min="8964" max="8964" width="11" style="207" bestFit="1" customWidth="1"/>
    <col min="8965" max="8965" width="15.28515625" style="207" customWidth="1"/>
    <col min="8966" max="9216" width="9.140625" style="207"/>
    <col min="9217" max="9217" width="77.5703125" style="207" customWidth="1"/>
    <col min="9218" max="9218" width="8.42578125" style="207" customWidth="1"/>
    <col min="9219" max="9219" width="9.140625" style="207"/>
    <col min="9220" max="9220" width="11" style="207" bestFit="1" customWidth="1"/>
    <col min="9221" max="9221" width="15.28515625" style="207" customWidth="1"/>
    <col min="9222" max="9472" width="9.140625" style="207"/>
    <col min="9473" max="9473" width="77.5703125" style="207" customWidth="1"/>
    <col min="9474" max="9474" width="8.42578125" style="207" customWidth="1"/>
    <col min="9475" max="9475" width="9.140625" style="207"/>
    <col min="9476" max="9476" width="11" style="207" bestFit="1" customWidth="1"/>
    <col min="9477" max="9477" width="15.28515625" style="207" customWidth="1"/>
    <col min="9478" max="9728" width="9.140625" style="207"/>
    <col min="9729" max="9729" width="77.5703125" style="207" customWidth="1"/>
    <col min="9730" max="9730" width="8.42578125" style="207" customWidth="1"/>
    <col min="9731" max="9731" width="9.140625" style="207"/>
    <col min="9732" max="9732" width="11" style="207" bestFit="1" customWidth="1"/>
    <col min="9733" max="9733" width="15.28515625" style="207" customWidth="1"/>
    <col min="9734" max="9984" width="9.140625" style="207"/>
    <col min="9985" max="9985" width="77.5703125" style="207" customWidth="1"/>
    <col min="9986" max="9986" width="8.42578125" style="207" customWidth="1"/>
    <col min="9987" max="9987" width="9.140625" style="207"/>
    <col min="9988" max="9988" width="11" style="207" bestFit="1" customWidth="1"/>
    <col min="9989" max="9989" width="15.28515625" style="207" customWidth="1"/>
    <col min="9990" max="10240" width="9.140625" style="207"/>
    <col min="10241" max="10241" width="77.5703125" style="207" customWidth="1"/>
    <col min="10242" max="10242" width="8.42578125" style="207" customWidth="1"/>
    <col min="10243" max="10243" width="9.140625" style="207"/>
    <col min="10244" max="10244" width="11" style="207" bestFit="1" customWidth="1"/>
    <col min="10245" max="10245" width="15.28515625" style="207" customWidth="1"/>
    <col min="10246" max="10496" width="9.140625" style="207"/>
    <col min="10497" max="10497" width="77.5703125" style="207" customWidth="1"/>
    <col min="10498" max="10498" width="8.42578125" style="207" customWidth="1"/>
    <col min="10499" max="10499" width="9.140625" style="207"/>
    <col min="10500" max="10500" width="11" style="207" bestFit="1" customWidth="1"/>
    <col min="10501" max="10501" width="15.28515625" style="207" customWidth="1"/>
    <col min="10502" max="10752" width="9.140625" style="207"/>
    <col min="10753" max="10753" width="77.5703125" style="207" customWidth="1"/>
    <col min="10754" max="10754" width="8.42578125" style="207" customWidth="1"/>
    <col min="10755" max="10755" width="9.140625" style="207"/>
    <col min="10756" max="10756" width="11" style="207" bestFit="1" customWidth="1"/>
    <col min="10757" max="10757" width="15.28515625" style="207" customWidth="1"/>
    <col min="10758" max="11008" width="9.140625" style="207"/>
    <col min="11009" max="11009" width="77.5703125" style="207" customWidth="1"/>
    <col min="11010" max="11010" width="8.42578125" style="207" customWidth="1"/>
    <col min="11011" max="11011" width="9.140625" style="207"/>
    <col min="11012" max="11012" width="11" style="207" bestFit="1" customWidth="1"/>
    <col min="11013" max="11013" width="15.28515625" style="207" customWidth="1"/>
    <col min="11014" max="11264" width="9.140625" style="207"/>
    <col min="11265" max="11265" width="77.5703125" style="207" customWidth="1"/>
    <col min="11266" max="11266" width="8.42578125" style="207" customWidth="1"/>
    <col min="11267" max="11267" width="9.140625" style="207"/>
    <col min="11268" max="11268" width="11" style="207" bestFit="1" customWidth="1"/>
    <col min="11269" max="11269" width="15.28515625" style="207" customWidth="1"/>
    <col min="11270" max="11520" width="9.140625" style="207"/>
    <col min="11521" max="11521" width="77.5703125" style="207" customWidth="1"/>
    <col min="11522" max="11522" width="8.42578125" style="207" customWidth="1"/>
    <col min="11523" max="11523" width="9.140625" style="207"/>
    <col min="11524" max="11524" width="11" style="207" bestFit="1" customWidth="1"/>
    <col min="11525" max="11525" width="15.28515625" style="207" customWidth="1"/>
    <col min="11526" max="11776" width="9.140625" style="207"/>
    <col min="11777" max="11777" width="77.5703125" style="207" customWidth="1"/>
    <col min="11778" max="11778" width="8.42578125" style="207" customWidth="1"/>
    <col min="11779" max="11779" width="9.140625" style="207"/>
    <col min="11780" max="11780" width="11" style="207" bestFit="1" customWidth="1"/>
    <col min="11781" max="11781" width="15.28515625" style="207" customWidth="1"/>
    <col min="11782" max="12032" width="9.140625" style="207"/>
    <col min="12033" max="12033" width="77.5703125" style="207" customWidth="1"/>
    <col min="12034" max="12034" width="8.42578125" style="207" customWidth="1"/>
    <col min="12035" max="12035" width="9.140625" style="207"/>
    <col min="12036" max="12036" width="11" style="207" bestFit="1" customWidth="1"/>
    <col min="12037" max="12037" width="15.28515625" style="207" customWidth="1"/>
    <col min="12038" max="12288" width="9.140625" style="207"/>
    <col min="12289" max="12289" width="77.5703125" style="207" customWidth="1"/>
    <col min="12290" max="12290" width="8.42578125" style="207" customWidth="1"/>
    <col min="12291" max="12291" width="9.140625" style="207"/>
    <col min="12292" max="12292" width="11" style="207" bestFit="1" customWidth="1"/>
    <col min="12293" max="12293" width="15.28515625" style="207" customWidth="1"/>
    <col min="12294" max="12544" width="9.140625" style="207"/>
    <col min="12545" max="12545" width="77.5703125" style="207" customWidth="1"/>
    <col min="12546" max="12546" width="8.42578125" style="207" customWidth="1"/>
    <col min="12547" max="12547" width="9.140625" style="207"/>
    <col min="12548" max="12548" width="11" style="207" bestFit="1" customWidth="1"/>
    <col min="12549" max="12549" width="15.28515625" style="207" customWidth="1"/>
    <col min="12550" max="12800" width="9.140625" style="207"/>
    <col min="12801" max="12801" width="77.5703125" style="207" customWidth="1"/>
    <col min="12802" max="12802" width="8.42578125" style="207" customWidth="1"/>
    <col min="12803" max="12803" width="9.140625" style="207"/>
    <col min="12804" max="12804" width="11" style="207" bestFit="1" customWidth="1"/>
    <col min="12805" max="12805" width="15.28515625" style="207" customWidth="1"/>
    <col min="12806" max="13056" width="9.140625" style="207"/>
    <col min="13057" max="13057" width="77.5703125" style="207" customWidth="1"/>
    <col min="13058" max="13058" width="8.42578125" style="207" customWidth="1"/>
    <col min="13059" max="13059" width="9.140625" style="207"/>
    <col min="13060" max="13060" width="11" style="207" bestFit="1" customWidth="1"/>
    <col min="13061" max="13061" width="15.28515625" style="207" customWidth="1"/>
    <col min="13062" max="13312" width="9.140625" style="207"/>
    <col min="13313" max="13313" width="77.5703125" style="207" customWidth="1"/>
    <col min="13314" max="13314" width="8.42578125" style="207" customWidth="1"/>
    <col min="13315" max="13315" width="9.140625" style="207"/>
    <col min="13316" max="13316" width="11" style="207" bestFit="1" customWidth="1"/>
    <col min="13317" max="13317" width="15.28515625" style="207" customWidth="1"/>
    <col min="13318" max="13568" width="9.140625" style="207"/>
    <col min="13569" max="13569" width="77.5703125" style="207" customWidth="1"/>
    <col min="13570" max="13570" width="8.42578125" style="207" customWidth="1"/>
    <col min="13571" max="13571" width="9.140625" style="207"/>
    <col min="13572" max="13572" width="11" style="207" bestFit="1" customWidth="1"/>
    <col min="13573" max="13573" width="15.28515625" style="207" customWidth="1"/>
    <col min="13574" max="13824" width="9.140625" style="207"/>
    <col min="13825" max="13825" width="77.5703125" style="207" customWidth="1"/>
    <col min="13826" max="13826" width="8.42578125" style="207" customWidth="1"/>
    <col min="13827" max="13827" width="9.140625" style="207"/>
    <col min="13828" max="13828" width="11" style="207" bestFit="1" customWidth="1"/>
    <col min="13829" max="13829" width="15.28515625" style="207" customWidth="1"/>
    <col min="13830" max="14080" width="9.140625" style="207"/>
    <col min="14081" max="14081" width="77.5703125" style="207" customWidth="1"/>
    <col min="14082" max="14082" width="8.42578125" style="207" customWidth="1"/>
    <col min="14083" max="14083" width="9.140625" style="207"/>
    <col min="14084" max="14084" width="11" style="207" bestFit="1" customWidth="1"/>
    <col min="14085" max="14085" width="15.28515625" style="207" customWidth="1"/>
    <col min="14086" max="14336" width="9.140625" style="207"/>
    <col min="14337" max="14337" width="77.5703125" style="207" customWidth="1"/>
    <col min="14338" max="14338" width="8.42578125" style="207" customWidth="1"/>
    <col min="14339" max="14339" width="9.140625" style="207"/>
    <col min="14340" max="14340" width="11" style="207" bestFit="1" customWidth="1"/>
    <col min="14341" max="14341" width="15.28515625" style="207" customWidth="1"/>
    <col min="14342" max="14592" width="9.140625" style="207"/>
    <col min="14593" max="14593" width="77.5703125" style="207" customWidth="1"/>
    <col min="14594" max="14594" width="8.42578125" style="207" customWidth="1"/>
    <col min="14595" max="14595" width="9.140625" style="207"/>
    <col min="14596" max="14596" width="11" style="207" bestFit="1" customWidth="1"/>
    <col min="14597" max="14597" width="15.28515625" style="207" customWidth="1"/>
    <col min="14598" max="14848" width="9.140625" style="207"/>
    <col min="14849" max="14849" width="77.5703125" style="207" customWidth="1"/>
    <col min="14850" max="14850" width="8.42578125" style="207" customWidth="1"/>
    <col min="14851" max="14851" width="9.140625" style="207"/>
    <col min="14852" max="14852" width="11" style="207" bestFit="1" customWidth="1"/>
    <col min="14853" max="14853" width="15.28515625" style="207" customWidth="1"/>
    <col min="14854" max="15104" width="9.140625" style="207"/>
    <col min="15105" max="15105" width="77.5703125" style="207" customWidth="1"/>
    <col min="15106" max="15106" width="8.42578125" style="207" customWidth="1"/>
    <col min="15107" max="15107" width="9.140625" style="207"/>
    <col min="15108" max="15108" width="11" style="207" bestFit="1" customWidth="1"/>
    <col min="15109" max="15109" width="15.28515625" style="207" customWidth="1"/>
    <col min="15110" max="15360" width="9.140625" style="207"/>
    <col min="15361" max="15361" width="77.5703125" style="207" customWidth="1"/>
    <col min="15362" max="15362" width="8.42578125" style="207" customWidth="1"/>
    <col min="15363" max="15363" width="9.140625" style="207"/>
    <col min="15364" max="15364" width="11" style="207" bestFit="1" customWidth="1"/>
    <col min="15365" max="15365" width="15.28515625" style="207" customWidth="1"/>
    <col min="15366" max="15616" width="9.140625" style="207"/>
    <col min="15617" max="15617" width="77.5703125" style="207" customWidth="1"/>
    <col min="15618" max="15618" width="8.42578125" style="207" customWidth="1"/>
    <col min="15619" max="15619" width="9.140625" style="207"/>
    <col min="15620" max="15620" width="11" style="207" bestFit="1" customWidth="1"/>
    <col min="15621" max="15621" width="15.28515625" style="207" customWidth="1"/>
    <col min="15622" max="15872" width="9.140625" style="207"/>
    <col min="15873" max="15873" width="77.5703125" style="207" customWidth="1"/>
    <col min="15874" max="15874" width="8.42578125" style="207" customWidth="1"/>
    <col min="15875" max="15875" width="9.140625" style="207"/>
    <col min="15876" max="15876" width="11" style="207" bestFit="1" customWidth="1"/>
    <col min="15877" max="15877" width="15.28515625" style="207" customWidth="1"/>
    <col min="15878" max="16128" width="9.140625" style="207"/>
    <col min="16129" max="16129" width="77.5703125" style="207" customWidth="1"/>
    <col min="16130" max="16130" width="8.42578125" style="207" customWidth="1"/>
    <col min="16131" max="16131" width="9.140625" style="207"/>
    <col min="16132" max="16132" width="11" style="207" bestFit="1" customWidth="1"/>
    <col min="16133" max="16133" width="15.28515625" style="207" customWidth="1"/>
    <col min="16134" max="16384" width="9.140625" style="207"/>
  </cols>
  <sheetData>
    <row r="2" spans="1:7" ht="16.5" thickBot="1" x14ac:dyDescent="0.3">
      <c r="A2" s="310" t="s">
        <v>351</v>
      </c>
      <c r="B2" s="310"/>
      <c r="C2" s="310"/>
      <c r="D2" s="310"/>
      <c r="E2" s="310"/>
      <c r="F2" s="310"/>
    </row>
    <row r="3" spans="1:7" ht="15.75" customHeight="1" x14ac:dyDescent="0.25">
      <c r="A3" s="313" t="s">
        <v>213</v>
      </c>
      <c r="B3" s="315" t="s">
        <v>67</v>
      </c>
      <c r="C3" s="317" t="s">
        <v>68</v>
      </c>
      <c r="D3" s="319" t="s">
        <v>69</v>
      </c>
      <c r="E3" s="319" t="s">
        <v>132</v>
      </c>
      <c r="F3" s="311" t="s">
        <v>326</v>
      </c>
      <c r="G3" s="308" t="s">
        <v>360</v>
      </c>
    </row>
    <row r="4" spans="1:7" x14ac:dyDescent="0.25">
      <c r="A4" s="314"/>
      <c r="B4" s="316"/>
      <c r="C4" s="318"/>
      <c r="D4" s="320"/>
      <c r="E4" s="320"/>
      <c r="F4" s="312"/>
      <c r="G4" s="309"/>
    </row>
    <row r="5" spans="1:7" x14ac:dyDescent="0.25">
      <c r="A5" s="225" t="s">
        <v>220</v>
      </c>
      <c r="B5" s="226"/>
      <c r="C5" s="227"/>
      <c r="D5" s="228"/>
      <c r="E5" s="229">
        <f>E6+E28</f>
        <v>17352417</v>
      </c>
      <c r="F5" s="229">
        <f>F6+F28</f>
        <v>17352417</v>
      </c>
      <c r="G5" s="230">
        <f>G6+G28+G30</f>
        <v>18352417</v>
      </c>
    </row>
    <row r="6" spans="1:7" x14ac:dyDescent="0.25">
      <c r="A6" s="225" t="s">
        <v>2</v>
      </c>
      <c r="B6" s="226"/>
      <c r="C6" s="227"/>
      <c r="D6" s="228"/>
      <c r="E6" s="229">
        <f>E7+E10+E20+E21+E23+E24+E26+E27</f>
        <v>17352417</v>
      </c>
      <c r="F6" s="229">
        <f>F7+F10+F20+F21+F23+F24+F26+F27</f>
        <v>17352417</v>
      </c>
      <c r="G6" s="230">
        <f>G7+G10+G20+G21+G23+G24+G26+G27</f>
        <v>17352417</v>
      </c>
    </row>
    <row r="7" spans="1:7" x14ac:dyDescent="0.25">
      <c r="A7" s="225" t="s">
        <v>70</v>
      </c>
      <c r="B7" s="226"/>
      <c r="C7" s="231"/>
      <c r="D7" s="228"/>
      <c r="E7" s="232">
        <f>E8</f>
        <v>0</v>
      </c>
      <c r="F7" s="232">
        <f>F8</f>
        <v>0</v>
      </c>
      <c r="G7" s="233">
        <f>G8</f>
        <v>0</v>
      </c>
    </row>
    <row r="8" spans="1:7" x14ac:dyDescent="0.25">
      <c r="A8" s="234" t="s">
        <v>71</v>
      </c>
      <c r="B8" s="226"/>
      <c r="C8" s="235"/>
      <c r="D8" s="236"/>
      <c r="E8" s="237">
        <f>C8*D8</f>
        <v>0</v>
      </c>
      <c r="F8" s="237">
        <f>D8*E8</f>
        <v>0</v>
      </c>
      <c r="G8" s="238">
        <f>E8*F8</f>
        <v>0</v>
      </c>
    </row>
    <row r="9" spans="1:7" x14ac:dyDescent="0.25">
      <c r="A9" s="234" t="s">
        <v>73</v>
      </c>
      <c r="B9" s="226"/>
      <c r="C9" s="231"/>
      <c r="D9" s="228"/>
      <c r="E9" s="239">
        <v>0</v>
      </c>
      <c r="F9" s="97">
        <v>0</v>
      </c>
      <c r="G9" s="301">
        <v>0</v>
      </c>
    </row>
    <row r="10" spans="1:7" x14ac:dyDescent="0.25">
      <c r="A10" s="240" t="s">
        <v>237</v>
      </c>
      <c r="B10" s="226"/>
      <c r="C10" s="231"/>
      <c r="D10" s="228"/>
      <c r="E10" s="232">
        <f>E11+E12+E13+E14+E15+E16+E17+E18</f>
        <v>7593580</v>
      </c>
      <c r="F10" s="232">
        <f>F11+F12+F13+F14+F15+F16+F17+F18</f>
        <v>7593580</v>
      </c>
      <c r="G10" s="233">
        <f>G11+G12+G13+G14+G15+G16+G17+G18</f>
        <v>7593580</v>
      </c>
    </row>
    <row r="11" spans="1:7" x14ac:dyDescent="0.25">
      <c r="A11" s="241" t="s">
        <v>72</v>
      </c>
      <c r="B11" s="226"/>
      <c r="C11" s="231"/>
      <c r="D11" s="228">
        <v>22300</v>
      </c>
      <c r="E11" s="237">
        <v>985660</v>
      </c>
      <c r="F11" s="97">
        <v>985660</v>
      </c>
      <c r="G11" s="301">
        <v>985660</v>
      </c>
    </row>
    <row r="12" spans="1:7" x14ac:dyDescent="0.25">
      <c r="A12" s="241" t="s">
        <v>73</v>
      </c>
      <c r="B12" s="226"/>
      <c r="C12" s="231"/>
      <c r="D12" s="228"/>
      <c r="E12" s="239"/>
      <c r="F12" s="97"/>
      <c r="G12" s="301"/>
    </row>
    <row r="13" spans="1:7" x14ac:dyDescent="0.25">
      <c r="A13" s="241" t="s">
        <v>74</v>
      </c>
      <c r="B13" s="226"/>
      <c r="C13" s="227"/>
      <c r="D13" s="228"/>
      <c r="E13" s="237">
        <v>4928000</v>
      </c>
      <c r="F13" s="97">
        <v>4928000</v>
      </c>
      <c r="G13" s="301">
        <v>4928000</v>
      </c>
    </row>
    <row r="14" spans="1:7" x14ac:dyDescent="0.25">
      <c r="A14" s="241" t="s">
        <v>73</v>
      </c>
      <c r="B14" s="226"/>
      <c r="C14" s="227"/>
      <c r="D14" s="228"/>
      <c r="E14" s="239"/>
      <c r="F14" s="97"/>
      <c r="G14" s="301"/>
    </row>
    <row r="15" spans="1:7" x14ac:dyDescent="0.25">
      <c r="A15" s="241" t="s">
        <v>75</v>
      </c>
      <c r="B15" s="226"/>
      <c r="C15" s="227"/>
      <c r="D15" s="228"/>
      <c r="E15" s="237">
        <v>100000</v>
      </c>
      <c r="F15" s="97">
        <v>100000</v>
      </c>
      <c r="G15" s="301">
        <v>100000</v>
      </c>
    </row>
    <row r="16" spans="1:7" x14ac:dyDescent="0.25">
      <c r="A16" s="241" t="s">
        <v>73</v>
      </c>
      <c r="B16" s="226"/>
      <c r="C16" s="227"/>
      <c r="D16" s="228"/>
      <c r="E16" s="239"/>
      <c r="F16" s="97"/>
      <c r="G16" s="301"/>
    </row>
    <row r="17" spans="1:7" x14ac:dyDescent="0.25">
      <c r="A17" s="241" t="s">
        <v>76</v>
      </c>
      <c r="B17" s="226"/>
      <c r="C17" s="227"/>
      <c r="D17" s="228"/>
      <c r="E17" s="237">
        <v>1579920</v>
      </c>
      <c r="F17" s="97">
        <v>1579920</v>
      </c>
      <c r="G17" s="301">
        <v>1579920</v>
      </c>
    </row>
    <row r="18" spans="1:7" x14ac:dyDescent="0.25">
      <c r="A18" s="241" t="s">
        <v>73</v>
      </c>
      <c r="B18" s="226"/>
      <c r="C18" s="227"/>
      <c r="D18" s="228"/>
      <c r="E18" s="239"/>
      <c r="F18" s="97"/>
      <c r="G18" s="301"/>
    </row>
    <row r="19" spans="1:7" x14ac:dyDescent="0.25">
      <c r="A19" s="225" t="s">
        <v>238</v>
      </c>
      <c r="B19" s="226"/>
      <c r="C19" s="227"/>
      <c r="D19" s="228"/>
      <c r="E19" s="229">
        <f>E20+E21</f>
        <v>9593287</v>
      </c>
      <c r="F19" s="229">
        <f>F20+F21</f>
        <v>9593287</v>
      </c>
      <c r="G19" s="230">
        <f>G20+G21</f>
        <v>9593287</v>
      </c>
    </row>
    <row r="20" spans="1:7" x14ac:dyDescent="0.25">
      <c r="A20" s="234" t="s">
        <v>216</v>
      </c>
      <c r="B20" s="242"/>
      <c r="C20" s="242"/>
      <c r="D20" s="236">
        <v>2700</v>
      </c>
      <c r="E20" s="237">
        <v>5000000</v>
      </c>
      <c r="F20" s="97">
        <v>5000000</v>
      </c>
      <c r="G20" s="301">
        <v>5000000</v>
      </c>
    </row>
    <row r="21" spans="1:7" x14ac:dyDescent="0.25">
      <c r="A21" s="241" t="s">
        <v>73</v>
      </c>
      <c r="B21" s="226"/>
      <c r="C21" s="243"/>
      <c r="D21" s="236"/>
      <c r="E21" s="237">
        <v>4593287</v>
      </c>
      <c r="F21" s="97">
        <v>4593287</v>
      </c>
      <c r="G21" s="301">
        <v>4593287</v>
      </c>
    </row>
    <row r="22" spans="1:7" x14ac:dyDescent="0.25">
      <c r="A22" s="225" t="s">
        <v>239</v>
      </c>
      <c r="B22" s="226"/>
      <c r="C22" s="243"/>
      <c r="D22" s="236"/>
      <c r="E22" s="232">
        <f>E23+E24</f>
        <v>104550</v>
      </c>
      <c r="F22" s="232">
        <f>F23+F24</f>
        <v>104550</v>
      </c>
      <c r="G22" s="233">
        <f>G23+G24</f>
        <v>104550</v>
      </c>
    </row>
    <row r="23" spans="1:7" x14ac:dyDescent="0.25">
      <c r="A23" s="234" t="s">
        <v>82</v>
      </c>
      <c r="B23" s="226"/>
      <c r="C23" s="243"/>
      <c r="D23" s="244">
        <v>2550</v>
      </c>
      <c r="E23" s="245">
        <v>104550</v>
      </c>
      <c r="F23" s="97">
        <v>104550</v>
      </c>
      <c r="G23" s="301">
        <v>104550</v>
      </c>
    </row>
    <row r="24" spans="1:7" x14ac:dyDescent="0.25">
      <c r="A24" s="241" t="s">
        <v>73</v>
      </c>
      <c r="B24" s="226"/>
      <c r="C24" s="227"/>
      <c r="D24" s="246"/>
      <c r="E24" s="243"/>
      <c r="F24" s="97"/>
      <c r="G24" s="301"/>
    </row>
    <row r="25" spans="1:7" x14ac:dyDescent="0.25">
      <c r="A25" s="247" t="s">
        <v>240</v>
      </c>
      <c r="B25" s="226"/>
      <c r="C25" s="243"/>
      <c r="D25" s="236"/>
      <c r="E25" s="248">
        <f>E26</f>
        <v>61000</v>
      </c>
      <c r="F25" s="248">
        <f>F26</f>
        <v>61000</v>
      </c>
      <c r="G25" s="249">
        <f>G26</f>
        <v>61000</v>
      </c>
    </row>
    <row r="26" spans="1:7" x14ac:dyDescent="0.25">
      <c r="A26" s="250" t="s">
        <v>241</v>
      </c>
      <c r="B26" s="226"/>
      <c r="C26" s="243"/>
      <c r="D26" s="236"/>
      <c r="E26" s="97">
        <v>61000</v>
      </c>
      <c r="F26" s="97">
        <v>61000</v>
      </c>
      <c r="G26" s="301">
        <v>61000</v>
      </c>
    </row>
    <row r="27" spans="1:7" x14ac:dyDescent="0.25">
      <c r="A27" s="241" t="s">
        <v>73</v>
      </c>
      <c r="B27" s="226"/>
      <c r="C27" s="243"/>
      <c r="D27" s="236"/>
      <c r="E27" s="237"/>
      <c r="F27" s="97"/>
      <c r="G27" s="301"/>
    </row>
    <row r="28" spans="1:7" x14ac:dyDescent="0.25">
      <c r="A28" s="240" t="s">
        <v>292</v>
      </c>
      <c r="B28" s="226"/>
      <c r="C28" s="227"/>
      <c r="D28" s="228"/>
      <c r="E28" s="232"/>
      <c r="F28" s="97"/>
      <c r="G28" s="301"/>
    </row>
    <row r="29" spans="1:7" x14ac:dyDescent="0.25">
      <c r="A29" s="241"/>
      <c r="B29" s="226"/>
      <c r="C29" s="243"/>
      <c r="D29" s="236"/>
      <c r="E29" s="237"/>
      <c r="F29" s="97"/>
      <c r="G29" s="301"/>
    </row>
    <row r="30" spans="1:7" x14ac:dyDescent="0.25">
      <c r="A30" s="299" t="s">
        <v>366</v>
      </c>
      <c r="B30" s="226"/>
      <c r="C30" s="243"/>
      <c r="D30" s="236"/>
      <c r="E30" s="237"/>
      <c r="F30" s="97"/>
      <c r="G30" s="302">
        <v>1000000</v>
      </c>
    </row>
    <row r="31" spans="1:7" x14ac:dyDescent="0.25">
      <c r="A31" s="241"/>
      <c r="B31" s="226"/>
      <c r="C31" s="243"/>
      <c r="D31" s="236"/>
      <c r="E31" s="237"/>
      <c r="F31" s="97"/>
      <c r="G31" s="301"/>
    </row>
    <row r="32" spans="1:7" x14ac:dyDescent="0.25">
      <c r="A32" s="225" t="s">
        <v>242</v>
      </c>
      <c r="B32" s="226"/>
      <c r="C32" s="243"/>
      <c r="D32" s="236"/>
      <c r="E32" s="228"/>
      <c r="F32" s="97"/>
      <c r="G32" s="301"/>
    </row>
    <row r="33" spans="1:7" x14ac:dyDescent="0.25">
      <c r="A33" s="250"/>
      <c r="B33" s="242"/>
      <c r="C33" s="242"/>
      <c r="D33" s="236"/>
      <c r="E33" s="245"/>
      <c r="F33" s="97"/>
      <c r="G33" s="301"/>
    </row>
    <row r="34" spans="1:7" x14ac:dyDescent="0.25">
      <c r="A34" s="225" t="s">
        <v>221</v>
      </c>
      <c r="B34" s="226"/>
      <c r="C34" s="243"/>
      <c r="D34" s="236"/>
      <c r="E34" s="228">
        <f>E35+E38+E40+E42</f>
        <v>6149000</v>
      </c>
      <c r="F34" s="228">
        <f>F35+F38+F40+F42</f>
        <v>6238609</v>
      </c>
      <c r="G34" s="251">
        <f>G35+G38+G40+G42</f>
        <v>6238609</v>
      </c>
    </row>
    <row r="35" spans="1:7" x14ac:dyDescent="0.25">
      <c r="A35" s="225" t="s">
        <v>77</v>
      </c>
      <c r="B35" s="226"/>
      <c r="C35" s="243"/>
      <c r="D35" s="236"/>
      <c r="E35" s="228">
        <f>SUM(E36:E37)</f>
        <v>3649000</v>
      </c>
      <c r="F35" s="228">
        <f>SUM(F36:F37)</f>
        <v>3649000</v>
      </c>
      <c r="G35" s="251">
        <f>SUM(G36:G37)</f>
        <v>3649000</v>
      </c>
    </row>
    <row r="36" spans="1:7" x14ac:dyDescent="0.25">
      <c r="A36" s="234" t="s">
        <v>218</v>
      </c>
      <c r="B36" s="226"/>
      <c r="C36" s="243"/>
      <c r="D36" s="236"/>
      <c r="E36" s="236"/>
      <c r="F36" s="97"/>
      <c r="G36" s="301"/>
    </row>
    <row r="37" spans="1:7" x14ac:dyDescent="0.25">
      <c r="A37" s="234" t="s">
        <v>217</v>
      </c>
      <c r="B37" s="226"/>
      <c r="C37" s="243"/>
      <c r="D37" s="236"/>
      <c r="E37" s="236">
        <v>3649000</v>
      </c>
      <c r="F37" s="97">
        <v>3649000</v>
      </c>
      <c r="G37" s="301">
        <v>3649000</v>
      </c>
    </row>
    <row r="38" spans="1:7" x14ac:dyDescent="0.25">
      <c r="A38" s="225" t="s">
        <v>78</v>
      </c>
      <c r="B38" s="242"/>
      <c r="C38" s="243"/>
      <c r="D38" s="236"/>
      <c r="E38" s="228">
        <f>E39</f>
        <v>2500000</v>
      </c>
      <c r="F38" s="228">
        <f>F39</f>
        <v>2500000</v>
      </c>
      <c r="G38" s="251">
        <f>G39</f>
        <v>2500000</v>
      </c>
    </row>
    <row r="39" spans="1:7" x14ac:dyDescent="0.25">
      <c r="A39" s="252" t="s">
        <v>288</v>
      </c>
      <c r="B39" s="242"/>
      <c r="C39" s="243"/>
      <c r="D39" s="236"/>
      <c r="E39" s="236">
        <v>2500000</v>
      </c>
      <c r="F39" s="97">
        <v>2500000</v>
      </c>
      <c r="G39" s="301">
        <v>2500000</v>
      </c>
    </row>
    <row r="40" spans="1:7" x14ac:dyDescent="0.25">
      <c r="A40" s="225" t="s">
        <v>79</v>
      </c>
      <c r="B40" s="226"/>
      <c r="C40" s="253"/>
      <c r="D40" s="228"/>
      <c r="E40" s="228"/>
      <c r="F40" s="97"/>
      <c r="G40" s="301"/>
    </row>
    <row r="41" spans="1:7" x14ac:dyDescent="0.25">
      <c r="A41" s="225"/>
      <c r="B41" s="226"/>
      <c r="C41" s="253"/>
      <c r="D41" s="228"/>
      <c r="E41" s="228"/>
      <c r="F41" s="97"/>
      <c r="G41" s="301"/>
    </row>
    <row r="42" spans="1:7" s="254" customFormat="1" x14ac:dyDescent="0.25">
      <c r="A42" s="225" t="s">
        <v>331</v>
      </c>
      <c r="B42" s="226"/>
      <c r="C42" s="253"/>
      <c r="D42" s="227"/>
      <c r="E42" s="227"/>
      <c r="F42" s="215">
        <v>89609</v>
      </c>
      <c r="G42" s="303">
        <v>89609</v>
      </c>
    </row>
    <row r="43" spans="1:7" x14ac:dyDescent="0.25">
      <c r="A43" s="234"/>
      <c r="B43" s="242"/>
      <c r="C43" s="242"/>
      <c r="D43" s="236"/>
      <c r="E43" s="255"/>
      <c r="F43" s="97"/>
      <c r="G43" s="301"/>
    </row>
    <row r="44" spans="1:7" x14ac:dyDescent="0.25">
      <c r="A44" s="256" t="s">
        <v>80</v>
      </c>
      <c r="B44" s="257"/>
      <c r="C44" s="257"/>
      <c r="D44" s="257"/>
      <c r="E44" s="248">
        <f>E45</f>
        <v>1200000</v>
      </c>
      <c r="F44" s="248">
        <f>F45</f>
        <v>1200000</v>
      </c>
      <c r="G44" s="249">
        <f>G45</f>
        <v>1200000</v>
      </c>
    </row>
    <row r="45" spans="1:7" x14ac:dyDescent="0.25">
      <c r="A45" s="258" t="s">
        <v>81</v>
      </c>
      <c r="B45" s="243"/>
      <c r="C45" s="243"/>
      <c r="D45" s="236"/>
      <c r="E45" s="245">
        <v>1200000</v>
      </c>
      <c r="F45" s="97">
        <v>1200000</v>
      </c>
      <c r="G45" s="301">
        <v>1200000</v>
      </c>
    </row>
    <row r="46" spans="1:7" x14ac:dyDescent="0.25">
      <c r="A46" s="258"/>
      <c r="B46" s="243"/>
      <c r="C46" s="243"/>
      <c r="D46" s="236"/>
      <c r="E46" s="245"/>
      <c r="F46" s="97"/>
      <c r="G46" s="301"/>
    </row>
    <row r="47" spans="1:7" x14ac:dyDescent="0.25">
      <c r="A47" s="300" t="s">
        <v>367</v>
      </c>
      <c r="B47" s="243"/>
      <c r="C47" s="243"/>
      <c r="D47" s="236"/>
      <c r="E47" s="245"/>
      <c r="F47" s="97"/>
      <c r="G47" s="302">
        <v>1075600</v>
      </c>
    </row>
    <row r="48" spans="1:7" x14ac:dyDescent="0.25">
      <c r="A48" s="258"/>
      <c r="B48" s="243"/>
      <c r="C48" s="243"/>
      <c r="D48" s="236"/>
      <c r="E48" s="245"/>
      <c r="F48" s="97"/>
      <c r="G48" s="301"/>
    </row>
    <row r="49" spans="1:8" ht="16.5" thickBot="1" x14ac:dyDescent="0.3">
      <c r="A49" s="259" t="s">
        <v>83</v>
      </c>
      <c r="B49" s="260"/>
      <c r="C49" s="260"/>
      <c r="D49" s="260"/>
      <c r="E49" s="261">
        <f>E44+E34+E32+E5</f>
        <v>24701417</v>
      </c>
      <c r="F49" s="261">
        <f>F44+F34+F32+F5</f>
        <v>24791026</v>
      </c>
      <c r="G49" s="262">
        <f>G44+G34+G32+G5+G47</f>
        <v>26866626</v>
      </c>
      <c r="H49" s="211">
        <f>G49-F49</f>
        <v>2075600</v>
      </c>
    </row>
    <row r="52" spans="1:8" x14ac:dyDescent="0.25">
      <c r="E52" s="211"/>
    </row>
  </sheetData>
  <mergeCells count="8">
    <mergeCell ref="G3:G4"/>
    <mergeCell ref="A2:F2"/>
    <mergeCell ref="F3:F4"/>
    <mergeCell ref="A3:A4"/>
    <mergeCell ref="B3:B4"/>
    <mergeCell ref="C3:C4"/>
    <mergeCell ref="D3:D4"/>
    <mergeCell ref="E3:E4"/>
  </mergeCells>
  <printOptions horizontalCentered="1"/>
  <pageMargins left="0.11811023622047245" right="0.11811023622047245" top="0.35433070866141736" bottom="0" header="0.11811023622047245" footer="0.31496062992125984"/>
  <pageSetup paperSize="9" scale="70" orientation="landscape" r:id="rId1"/>
  <headerFooter>
    <oddHeader>&amp;C2.a. melléklet a ….../2017. (…...) önkormányzati rendelet tervezethez
Az önkormányzat 2017. évi költségvetéséről szóló 2/2017. (II.17.) önkormányzati rendelet 2.a. mellékletének helyébe a következő 2.a. melléklet lép: &amp;R&amp;P. oldal
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3:I36"/>
  <sheetViews>
    <sheetView view="pageLayout" topLeftCell="A16" zoomScaleNormal="75" zoomScaleSheetLayoutView="80" workbookViewId="0">
      <selection activeCell="I26" sqref="I26:I29"/>
    </sheetView>
  </sheetViews>
  <sheetFormatPr defaultColWidth="9" defaultRowHeight="15.75" x14ac:dyDescent="0.25"/>
  <cols>
    <col min="1" max="1" width="43" style="187" customWidth="1"/>
    <col min="2" max="5" width="15.28515625" style="187" customWidth="1"/>
    <col min="6" max="6" width="12.7109375" style="187" bestFit="1" customWidth="1"/>
    <col min="7" max="16384" width="9" style="187"/>
  </cols>
  <sheetData>
    <row r="3" spans="1:5" ht="31.5" customHeight="1" thickBot="1" x14ac:dyDescent="0.3">
      <c r="A3" s="321" t="s">
        <v>352</v>
      </c>
      <c r="B3" s="321"/>
      <c r="C3" s="321"/>
      <c r="D3" s="321"/>
      <c r="E3" s="321"/>
    </row>
    <row r="4" spans="1:5" ht="51.75" customHeight="1" x14ac:dyDescent="0.25">
      <c r="A4" s="92" t="s">
        <v>213</v>
      </c>
      <c r="B4" s="40" t="s">
        <v>329</v>
      </c>
      <c r="C4" s="55" t="s">
        <v>326</v>
      </c>
      <c r="D4" s="55" t="s">
        <v>360</v>
      </c>
      <c r="E4" s="280" t="s">
        <v>327</v>
      </c>
    </row>
    <row r="5" spans="1:5" ht="24.75" customHeight="1" x14ac:dyDescent="0.25">
      <c r="A5" s="93" t="s">
        <v>254</v>
      </c>
      <c r="B5" s="89"/>
      <c r="C5" s="94"/>
      <c r="D5" s="94"/>
      <c r="E5" s="95"/>
    </row>
    <row r="6" spans="1:5" s="188" customFormat="1" ht="18.95" customHeight="1" x14ac:dyDescent="0.25">
      <c r="A6" s="96" t="s">
        <v>86</v>
      </c>
      <c r="B6" s="90">
        <v>9751000</v>
      </c>
      <c r="C6" s="134">
        <v>11277940</v>
      </c>
      <c r="D6" s="134">
        <f>11277940+407650</f>
        <v>11685590</v>
      </c>
      <c r="E6" s="136">
        <f>D6-C6</f>
        <v>407650</v>
      </c>
    </row>
    <row r="7" spans="1:5" s="188" customFormat="1" ht="18.95" customHeight="1" x14ac:dyDescent="0.25">
      <c r="A7" s="96" t="s">
        <v>87</v>
      </c>
      <c r="B7" s="90">
        <v>2092100</v>
      </c>
      <c r="C7" s="184">
        <v>2253529</v>
      </c>
      <c r="D7" s="184">
        <f>2253529+44841</f>
        <v>2298370</v>
      </c>
      <c r="E7" s="136">
        <f t="shared" ref="E7:E36" si="0">D7-C7</f>
        <v>44841</v>
      </c>
    </row>
    <row r="8" spans="1:5" s="188" customFormat="1" ht="18.95" customHeight="1" x14ac:dyDescent="0.25">
      <c r="A8" s="96" t="s">
        <v>88</v>
      </c>
      <c r="B8" s="90">
        <f>SUM(B9:B23)</f>
        <v>12859500</v>
      </c>
      <c r="C8" s="90">
        <f>SUM(C9:C23)</f>
        <v>13259500</v>
      </c>
      <c r="D8" s="90">
        <f>SUM(D9:D23)</f>
        <v>13521700</v>
      </c>
      <c r="E8" s="136">
        <f t="shared" si="0"/>
        <v>262200</v>
      </c>
    </row>
    <row r="9" spans="1:5" ht="19.7" customHeight="1" x14ac:dyDescent="0.25">
      <c r="A9" s="98" t="s">
        <v>268</v>
      </c>
      <c r="B9" s="72">
        <v>35000</v>
      </c>
      <c r="C9" s="97">
        <v>35000</v>
      </c>
      <c r="D9" s="97">
        <v>35000</v>
      </c>
      <c r="E9" s="130">
        <f t="shared" si="0"/>
        <v>0</v>
      </c>
    </row>
    <row r="10" spans="1:5" ht="19.7" customHeight="1" x14ac:dyDescent="0.25">
      <c r="A10" s="98" t="s">
        <v>269</v>
      </c>
      <c r="B10" s="72">
        <v>1960000</v>
      </c>
      <c r="C10" s="97">
        <v>1960000</v>
      </c>
      <c r="D10" s="97">
        <v>1960000</v>
      </c>
      <c r="E10" s="130">
        <f t="shared" si="0"/>
        <v>0</v>
      </c>
    </row>
    <row r="11" spans="1:5" ht="19.7" customHeight="1" x14ac:dyDescent="0.25">
      <c r="A11" s="99" t="s">
        <v>244</v>
      </c>
      <c r="B11" s="72">
        <v>435000</v>
      </c>
      <c r="C11" s="97">
        <v>435000</v>
      </c>
      <c r="D11" s="97">
        <v>465000</v>
      </c>
      <c r="E11" s="130">
        <f t="shared" si="0"/>
        <v>30000</v>
      </c>
    </row>
    <row r="12" spans="1:5" ht="19.7" customHeight="1" x14ac:dyDescent="0.25">
      <c r="A12" s="99" t="s">
        <v>245</v>
      </c>
      <c r="B12" s="72">
        <v>684000</v>
      </c>
      <c r="C12" s="97">
        <v>684000</v>
      </c>
      <c r="D12" s="97">
        <v>684000</v>
      </c>
      <c r="E12" s="130">
        <f t="shared" si="0"/>
        <v>0</v>
      </c>
    </row>
    <row r="13" spans="1:5" ht="19.7" customHeight="1" x14ac:dyDescent="0.25">
      <c r="A13" s="99" t="s">
        <v>246</v>
      </c>
      <c r="B13" s="72">
        <v>1983000</v>
      </c>
      <c r="C13" s="97">
        <v>1983000</v>
      </c>
      <c r="D13" s="97">
        <f>1983000+20000</f>
        <v>2003000</v>
      </c>
      <c r="E13" s="130">
        <f t="shared" si="0"/>
        <v>20000</v>
      </c>
    </row>
    <row r="14" spans="1:5" ht="19.7" customHeight="1" x14ac:dyDescent="0.25">
      <c r="A14" s="99" t="s">
        <v>247</v>
      </c>
      <c r="B14" s="72">
        <v>15000</v>
      </c>
      <c r="C14" s="97">
        <v>15000</v>
      </c>
      <c r="D14" s="97">
        <v>15000</v>
      </c>
      <c r="E14" s="130">
        <f t="shared" si="0"/>
        <v>0</v>
      </c>
    </row>
    <row r="15" spans="1:5" ht="19.7" customHeight="1" x14ac:dyDescent="0.25">
      <c r="A15" s="99" t="s">
        <v>305</v>
      </c>
      <c r="B15" s="72">
        <v>460000</v>
      </c>
      <c r="C15" s="97">
        <v>460000</v>
      </c>
      <c r="D15" s="97">
        <v>460000</v>
      </c>
      <c r="E15" s="130">
        <f t="shared" si="0"/>
        <v>0</v>
      </c>
    </row>
    <row r="16" spans="1:5" ht="19.7" customHeight="1" x14ac:dyDescent="0.25">
      <c r="A16" s="99" t="s">
        <v>248</v>
      </c>
      <c r="B16" s="72">
        <v>525000</v>
      </c>
      <c r="C16" s="97">
        <v>525000</v>
      </c>
      <c r="D16" s="97">
        <v>525000</v>
      </c>
      <c r="E16" s="130">
        <f t="shared" si="0"/>
        <v>0</v>
      </c>
    </row>
    <row r="17" spans="1:9" ht="19.7" customHeight="1" x14ac:dyDescent="0.25">
      <c r="A17" s="99" t="s">
        <v>306</v>
      </c>
      <c r="B17" s="72">
        <v>20000</v>
      </c>
      <c r="C17" s="97">
        <v>20000</v>
      </c>
      <c r="D17" s="97">
        <v>20000</v>
      </c>
      <c r="E17" s="130">
        <f t="shared" si="0"/>
        <v>0</v>
      </c>
    </row>
    <row r="18" spans="1:9" ht="19.7" customHeight="1" x14ac:dyDescent="0.25">
      <c r="A18" s="99" t="s">
        <v>249</v>
      </c>
      <c r="B18" s="72">
        <v>1141000</v>
      </c>
      <c r="C18" s="97">
        <v>1141000</v>
      </c>
      <c r="D18" s="97">
        <v>1141000</v>
      </c>
      <c r="E18" s="130">
        <f t="shared" si="0"/>
        <v>0</v>
      </c>
    </row>
    <row r="19" spans="1:9" ht="19.7" customHeight="1" x14ac:dyDescent="0.25">
      <c r="A19" s="99" t="s">
        <v>253</v>
      </c>
      <c r="B19" s="72">
        <v>3300000</v>
      </c>
      <c r="C19" s="97">
        <v>3300000</v>
      </c>
      <c r="D19" s="97">
        <f>3300000-50000</f>
        <v>3250000</v>
      </c>
      <c r="E19" s="130">
        <f t="shared" si="0"/>
        <v>-50000</v>
      </c>
    </row>
    <row r="20" spans="1:9" ht="19.7" customHeight="1" x14ac:dyDescent="0.25">
      <c r="A20" s="99" t="s">
        <v>271</v>
      </c>
      <c r="B20" s="72">
        <v>60000</v>
      </c>
      <c r="C20" s="97">
        <v>60000</v>
      </c>
      <c r="D20" s="97">
        <v>60000</v>
      </c>
      <c r="E20" s="130">
        <f t="shared" si="0"/>
        <v>0</v>
      </c>
    </row>
    <row r="21" spans="1:9" ht="19.7" customHeight="1" x14ac:dyDescent="0.25">
      <c r="A21" s="99" t="s">
        <v>250</v>
      </c>
      <c r="B21" s="72">
        <f>1996116+384</f>
        <v>1996500</v>
      </c>
      <c r="C21" s="97">
        <v>1996500</v>
      </c>
      <c r="D21" s="97">
        <v>1996500</v>
      </c>
      <c r="E21" s="130">
        <f t="shared" si="0"/>
        <v>0</v>
      </c>
    </row>
    <row r="22" spans="1:9" ht="19.7" customHeight="1" x14ac:dyDescent="0.25">
      <c r="A22" s="99" t="s">
        <v>251</v>
      </c>
      <c r="B22" s="72"/>
      <c r="C22" s="97">
        <v>400000</v>
      </c>
      <c r="D22" s="97">
        <v>400000</v>
      </c>
      <c r="E22" s="130">
        <f t="shared" si="0"/>
        <v>0</v>
      </c>
    </row>
    <row r="23" spans="1:9" ht="19.7" customHeight="1" x14ac:dyDescent="0.25">
      <c r="A23" s="99" t="s">
        <v>252</v>
      </c>
      <c r="B23" s="72">
        <v>245000</v>
      </c>
      <c r="C23" s="97">
        <v>245000</v>
      </c>
      <c r="D23" s="97">
        <f>245000+262200</f>
        <v>507200</v>
      </c>
      <c r="E23" s="130">
        <f t="shared" si="0"/>
        <v>262200</v>
      </c>
    </row>
    <row r="24" spans="1:9" s="188" customFormat="1" x14ac:dyDescent="0.25">
      <c r="A24" s="96" t="s">
        <v>272</v>
      </c>
      <c r="B24" s="90">
        <f t="shared" ref="B24:D24" si="1">B25</f>
        <v>1810000</v>
      </c>
      <c r="C24" s="90">
        <f t="shared" si="1"/>
        <v>1810000</v>
      </c>
      <c r="D24" s="90">
        <f t="shared" si="1"/>
        <v>1810000</v>
      </c>
      <c r="E24" s="136">
        <f t="shared" si="0"/>
        <v>0</v>
      </c>
    </row>
    <row r="25" spans="1:9" ht="19.7" customHeight="1" x14ac:dyDescent="0.25">
      <c r="A25" s="99" t="s">
        <v>287</v>
      </c>
      <c r="B25" s="72">
        <v>1810000</v>
      </c>
      <c r="C25" s="97">
        <v>1810000</v>
      </c>
      <c r="D25" s="97">
        <v>1810000</v>
      </c>
      <c r="E25" s="130">
        <f t="shared" si="0"/>
        <v>0</v>
      </c>
    </row>
    <row r="26" spans="1:9" s="188" customFormat="1" ht="21" customHeight="1" x14ac:dyDescent="0.25">
      <c r="A26" s="93" t="s">
        <v>89</v>
      </c>
      <c r="B26" s="90">
        <f>B27+B29+B30+B31+B32+B33+B34</f>
        <v>12249000</v>
      </c>
      <c r="C26" s="90">
        <f>C27+C29+C30+C31+C32+C33+C34</f>
        <v>12729997</v>
      </c>
      <c r="D26" s="90">
        <f>D27+D29+D30+D31+D32+D33+D34</f>
        <v>12269780</v>
      </c>
      <c r="E26" s="136">
        <f t="shared" si="0"/>
        <v>-460217</v>
      </c>
      <c r="F26" s="221"/>
      <c r="G26" s="189"/>
      <c r="H26" s="189"/>
      <c r="I26" s="189"/>
    </row>
    <row r="27" spans="1:9" ht="36" customHeight="1" x14ac:dyDescent="0.25">
      <c r="A27" s="100" t="s">
        <v>336</v>
      </c>
      <c r="B27" s="72"/>
      <c r="C27" s="72"/>
      <c r="D27" s="72"/>
      <c r="E27" s="130">
        <f t="shared" si="0"/>
        <v>0</v>
      </c>
      <c r="F27" s="221"/>
      <c r="G27" s="190"/>
      <c r="H27" s="190"/>
      <c r="I27" s="190"/>
    </row>
    <row r="28" spans="1:9" x14ac:dyDescent="0.25">
      <c r="A28" s="101" t="s">
        <v>309</v>
      </c>
      <c r="B28" s="72"/>
      <c r="C28" s="97"/>
      <c r="D28" s="97"/>
      <c r="E28" s="130">
        <f t="shared" si="0"/>
        <v>0</v>
      </c>
      <c r="F28" s="221"/>
      <c r="G28" s="190"/>
      <c r="H28" s="190"/>
      <c r="I28" s="190"/>
    </row>
    <row r="29" spans="1:9" ht="33" customHeight="1" x14ac:dyDescent="0.25">
      <c r="A29" s="100" t="s">
        <v>92</v>
      </c>
      <c r="B29" s="72"/>
      <c r="C29" s="94"/>
      <c r="D29" s="94"/>
      <c r="E29" s="130">
        <f t="shared" si="0"/>
        <v>0</v>
      </c>
      <c r="F29" s="221"/>
      <c r="G29" s="190"/>
      <c r="H29" s="190"/>
      <c r="I29" s="190"/>
    </row>
    <row r="30" spans="1:9" ht="29.25" customHeight="1" x14ac:dyDescent="0.25">
      <c r="A30" s="100" t="s">
        <v>93</v>
      </c>
      <c r="B30" s="72"/>
      <c r="C30" s="94"/>
      <c r="D30" s="94"/>
      <c r="E30" s="130">
        <f t="shared" si="0"/>
        <v>0</v>
      </c>
      <c r="F30" s="221"/>
      <c r="G30" s="190"/>
      <c r="H30" s="190"/>
      <c r="I30" s="190"/>
    </row>
    <row r="31" spans="1:9" x14ac:dyDescent="0.25">
      <c r="A31" s="100" t="s">
        <v>334</v>
      </c>
      <c r="B31" s="72">
        <f>'4.sz.tábla'!B3</f>
        <v>11209000</v>
      </c>
      <c r="C31" s="72">
        <f>'4.sz.tábla'!C3</f>
        <v>11483997</v>
      </c>
      <c r="D31" s="72">
        <f>'4.sz.tábla'!D3</f>
        <v>10706380</v>
      </c>
      <c r="E31" s="130">
        <f t="shared" si="0"/>
        <v>-777617</v>
      </c>
      <c r="F31" s="222"/>
      <c r="G31" s="185"/>
      <c r="H31" s="185"/>
      <c r="I31" s="185"/>
    </row>
    <row r="32" spans="1:9" ht="31.5" customHeight="1" x14ac:dyDescent="0.25">
      <c r="A32" s="100" t="s">
        <v>94</v>
      </c>
      <c r="B32" s="72"/>
      <c r="C32" s="94"/>
      <c r="D32" s="94"/>
      <c r="E32" s="130">
        <f t="shared" si="0"/>
        <v>0</v>
      </c>
      <c r="F32" s="222"/>
      <c r="G32" s="185"/>
      <c r="H32" s="185"/>
      <c r="I32" s="185"/>
    </row>
    <row r="33" spans="1:9" ht="34.5" customHeight="1" x14ac:dyDescent="0.25">
      <c r="A33" s="100" t="s">
        <v>3</v>
      </c>
      <c r="B33" s="72"/>
      <c r="C33" s="102"/>
      <c r="D33" s="102"/>
      <c r="E33" s="130">
        <f t="shared" si="0"/>
        <v>0</v>
      </c>
      <c r="F33" s="222"/>
      <c r="G33" s="185"/>
      <c r="H33" s="185"/>
      <c r="I33" s="185"/>
    </row>
    <row r="34" spans="1:9" x14ac:dyDescent="0.25">
      <c r="A34" s="100" t="s">
        <v>335</v>
      </c>
      <c r="B34" s="72">
        <f>'4.sz.tábla'!B9</f>
        <v>1040000</v>
      </c>
      <c r="C34" s="72">
        <f>'4.sz.tábla'!C9</f>
        <v>1246000</v>
      </c>
      <c r="D34" s="72">
        <f>'4.sz.tábla'!D9</f>
        <v>1563400</v>
      </c>
      <c r="E34" s="130">
        <f t="shared" si="0"/>
        <v>317400</v>
      </c>
      <c r="F34" s="222"/>
      <c r="G34" s="185"/>
      <c r="H34" s="185"/>
      <c r="I34" s="185"/>
    </row>
    <row r="35" spans="1:9" ht="19.7" customHeight="1" x14ac:dyDescent="0.25">
      <c r="A35" s="100"/>
      <c r="B35" s="72"/>
      <c r="C35" s="94"/>
      <c r="D35" s="94"/>
      <c r="E35" s="130">
        <f t="shared" si="0"/>
        <v>0</v>
      </c>
      <c r="F35" s="222"/>
      <c r="G35" s="185"/>
      <c r="H35" s="185"/>
      <c r="I35" s="185"/>
    </row>
    <row r="36" spans="1:9" s="188" customFormat="1" ht="32.25" thickBot="1" x14ac:dyDescent="0.3">
      <c r="A36" s="103" t="s">
        <v>95</v>
      </c>
      <c r="B36" s="91">
        <f>B6+B7+B8+B24+B26</f>
        <v>38761600</v>
      </c>
      <c r="C36" s="91">
        <f>C6+C7+C8+C24+C26</f>
        <v>41330966</v>
      </c>
      <c r="D36" s="91">
        <f>D6+D7+D8+D24+D26</f>
        <v>41585440</v>
      </c>
      <c r="E36" s="140">
        <f t="shared" si="0"/>
        <v>254474</v>
      </c>
      <c r="F36" s="223"/>
      <c r="G36" s="186"/>
      <c r="H36" s="186"/>
      <c r="I36" s="186"/>
    </row>
  </sheetData>
  <sheetProtection selectLockedCells="1" selectUnlockedCells="1"/>
  <mergeCells count="1">
    <mergeCell ref="A3:E3"/>
  </mergeCells>
  <phoneticPr fontId="20" type="noConversion"/>
  <printOptions horizontalCentered="1"/>
  <pageMargins left="0.15748031496062992" right="0.15748031496062992" top="0.98425196850393704" bottom="0.19685039370078741" header="0.11811023622047245" footer="0.51181102362204722"/>
  <pageSetup paperSize="9" scale="98" firstPageNumber="0" orientation="portrait" r:id="rId1"/>
  <headerFooter alignWithMargins="0">
    <oddHeader>&amp;C3. melléklet a ….../2017. (…...) önkormányzati rendelet tervezethez
Az önkormányzat 2017. évi költségvetéséről szóló 2/2017. (II.17.) önkormányzati rendelet 3. mellékletének helyébe a következő 3. melléklet lép: &amp;R&amp;P. oldal
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33"/>
  <sheetViews>
    <sheetView view="pageLayout" topLeftCell="A7" zoomScaleNormal="100" workbookViewId="0">
      <selection activeCell="D17" sqref="D17"/>
    </sheetView>
  </sheetViews>
  <sheetFormatPr defaultColWidth="9" defaultRowHeight="15.75" x14ac:dyDescent="0.25"/>
  <cols>
    <col min="1" max="1" width="46.85546875" style="206" customWidth="1"/>
    <col min="2" max="2" width="11.5703125" style="206" bestFit="1" customWidth="1"/>
    <col min="3" max="4" width="15.28515625" style="207" customWidth="1"/>
    <col min="5" max="5" width="12" style="207" bestFit="1" customWidth="1"/>
    <col min="6" max="6" width="15.28515625" style="207" customWidth="1"/>
    <col min="7" max="16384" width="9" style="207"/>
  </cols>
  <sheetData>
    <row r="1" spans="1:6" ht="27.75" customHeight="1" thickBot="1" x14ac:dyDescent="0.3">
      <c r="A1" s="321" t="s">
        <v>352</v>
      </c>
      <c r="B1" s="321"/>
      <c r="C1" s="321"/>
      <c r="D1" s="321"/>
      <c r="E1" s="321"/>
    </row>
    <row r="2" spans="1:6" ht="31.5" x14ac:dyDescent="0.25">
      <c r="A2" s="208" t="s">
        <v>84</v>
      </c>
      <c r="B2" s="40" t="s">
        <v>329</v>
      </c>
      <c r="C2" s="55" t="s">
        <v>326</v>
      </c>
      <c r="D2" s="55" t="s">
        <v>360</v>
      </c>
      <c r="E2" s="280" t="s">
        <v>327</v>
      </c>
    </row>
    <row r="3" spans="1:6" ht="31.5" x14ac:dyDescent="0.25">
      <c r="A3" s="209" t="s">
        <v>255</v>
      </c>
      <c r="B3" s="283">
        <f>SUM(B4:B7)</f>
        <v>11209000</v>
      </c>
      <c r="C3" s="283">
        <f>SUM(C4:C7)</f>
        <v>11483997</v>
      </c>
      <c r="D3" s="283">
        <f>SUM(D4:D7)</f>
        <v>10706380</v>
      </c>
      <c r="E3" s="233">
        <f>D3-C3</f>
        <v>-777617</v>
      </c>
    </row>
    <row r="4" spans="1:6" ht="28.5" customHeight="1" x14ac:dyDescent="0.25">
      <c r="A4" s="210" t="s">
        <v>256</v>
      </c>
      <c r="B4" s="284">
        <f>3852534+813</f>
        <v>3853347</v>
      </c>
      <c r="C4" s="237">
        <v>3821697</v>
      </c>
      <c r="D4" s="237">
        <f>3821697-777617</f>
        <v>3044080</v>
      </c>
      <c r="E4" s="238">
        <f t="shared" ref="E4:E24" si="0">D4-C4</f>
        <v>-777617</v>
      </c>
    </row>
    <row r="5" spans="1:6" ht="28.5" customHeight="1" x14ac:dyDescent="0.25">
      <c r="A5" s="210" t="s">
        <v>257</v>
      </c>
      <c r="B5" s="284">
        <v>5762637</v>
      </c>
      <c r="C5" s="237">
        <v>6069284</v>
      </c>
      <c r="D5" s="237">
        <v>6069284</v>
      </c>
      <c r="E5" s="238">
        <f t="shared" si="0"/>
        <v>0</v>
      </c>
      <c r="F5" s="211"/>
    </row>
    <row r="6" spans="1:6" ht="28.5" customHeight="1" x14ac:dyDescent="0.25">
      <c r="A6" s="210" t="s">
        <v>262</v>
      </c>
      <c r="B6" s="284">
        <v>1043016</v>
      </c>
      <c r="C6" s="237">
        <v>1043016</v>
      </c>
      <c r="D6" s="237">
        <v>1043016</v>
      </c>
      <c r="E6" s="238">
        <f t="shared" si="0"/>
        <v>0</v>
      </c>
    </row>
    <row r="7" spans="1:6" ht="28.5" customHeight="1" x14ac:dyDescent="0.25">
      <c r="A7" s="212" t="s">
        <v>258</v>
      </c>
      <c r="B7" s="284">
        <v>550000</v>
      </c>
      <c r="C7" s="237">
        <v>550000</v>
      </c>
      <c r="D7" s="237">
        <v>550000</v>
      </c>
      <c r="E7" s="238">
        <f t="shared" si="0"/>
        <v>0</v>
      </c>
    </row>
    <row r="8" spans="1:6" ht="28.5" customHeight="1" x14ac:dyDescent="0.25">
      <c r="A8" s="212" t="s">
        <v>297</v>
      </c>
      <c r="B8" s="284"/>
      <c r="C8" s="237"/>
      <c r="D8" s="237"/>
      <c r="E8" s="238">
        <f t="shared" si="0"/>
        <v>0</v>
      </c>
    </row>
    <row r="9" spans="1:6" ht="31.5" x14ac:dyDescent="0.25">
      <c r="A9" s="209" t="s">
        <v>259</v>
      </c>
      <c r="B9" s="283">
        <f>SUM(B10:B15)</f>
        <v>1040000</v>
      </c>
      <c r="C9" s="283">
        <f>SUM(C10:C17)</f>
        <v>1246000</v>
      </c>
      <c r="D9" s="283">
        <f>SUM(D10:D17)</f>
        <v>1563400</v>
      </c>
      <c r="E9" s="233">
        <f t="shared" si="0"/>
        <v>317400</v>
      </c>
    </row>
    <row r="10" spans="1:6" ht="28.5" customHeight="1" x14ac:dyDescent="0.25">
      <c r="A10" s="213" t="s">
        <v>300</v>
      </c>
      <c r="B10" s="284">
        <v>50000</v>
      </c>
      <c r="C10" s="237">
        <v>50000</v>
      </c>
      <c r="D10" s="237">
        <v>50000</v>
      </c>
      <c r="E10" s="238">
        <f t="shared" si="0"/>
        <v>0</v>
      </c>
    </row>
    <row r="11" spans="1:6" ht="28.5" customHeight="1" x14ac:dyDescent="0.25">
      <c r="A11" s="213" t="s">
        <v>301</v>
      </c>
      <c r="B11" s="284">
        <v>10000</v>
      </c>
      <c r="C11" s="237">
        <v>10000</v>
      </c>
      <c r="D11" s="237">
        <v>10000</v>
      </c>
      <c r="E11" s="238">
        <f t="shared" si="0"/>
        <v>0</v>
      </c>
    </row>
    <row r="12" spans="1:6" ht="28.5" customHeight="1" x14ac:dyDescent="0.25">
      <c r="A12" s="213" t="s">
        <v>302</v>
      </c>
      <c r="B12" s="284">
        <v>330000</v>
      </c>
      <c r="C12" s="237">
        <v>526000</v>
      </c>
      <c r="D12" s="237">
        <f>526000-526000</f>
        <v>0</v>
      </c>
      <c r="E12" s="238">
        <f t="shared" si="0"/>
        <v>-526000</v>
      </c>
    </row>
    <row r="13" spans="1:6" ht="28.5" customHeight="1" x14ac:dyDescent="0.25">
      <c r="A13" s="213" t="s">
        <v>304</v>
      </c>
      <c r="B13" s="284">
        <v>150000</v>
      </c>
      <c r="C13" s="237">
        <v>150000</v>
      </c>
      <c r="D13" s="237">
        <v>150000</v>
      </c>
      <c r="E13" s="238">
        <f t="shared" si="0"/>
        <v>0</v>
      </c>
    </row>
    <row r="14" spans="1:6" ht="28.5" customHeight="1" x14ac:dyDescent="0.25">
      <c r="A14" s="213" t="s">
        <v>303</v>
      </c>
      <c r="B14" s="284">
        <v>400000</v>
      </c>
      <c r="C14" s="237">
        <v>400000</v>
      </c>
      <c r="D14" s="237">
        <v>400000</v>
      </c>
      <c r="E14" s="238">
        <f t="shared" si="0"/>
        <v>0</v>
      </c>
    </row>
    <row r="15" spans="1:6" ht="28.5" customHeight="1" x14ac:dyDescent="0.25">
      <c r="A15" s="213" t="s">
        <v>308</v>
      </c>
      <c r="B15" s="284">
        <v>100000</v>
      </c>
      <c r="C15" s="237">
        <v>100000</v>
      </c>
      <c r="D15" s="237">
        <v>100000</v>
      </c>
      <c r="E15" s="238">
        <f t="shared" si="0"/>
        <v>0</v>
      </c>
    </row>
    <row r="16" spans="1:6" ht="28.5" customHeight="1" x14ac:dyDescent="0.25">
      <c r="A16" s="213" t="s">
        <v>310</v>
      </c>
      <c r="B16" s="284"/>
      <c r="C16" s="237"/>
      <c r="D16" s="237">
        <v>843400</v>
      </c>
      <c r="E16" s="238">
        <f t="shared" si="0"/>
        <v>843400</v>
      </c>
    </row>
    <row r="17" spans="1:6" ht="28.5" customHeight="1" x14ac:dyDescent="0.25">
      <c r="A17" s="213" t="s">
        <v>330</v>
      </c>
      <c r="B17" s="284"/>
      <c r="C17" s="237">
        <v>10000</v>
      </c>
      <c r="D17" s="237">
        <v>10000</v>
      </c>
      <c r="E17" s="238">
        <f t="shared" si="0"/>
        <v>0</v>
      </c>
    </row>
    <row r="18" spans="1:6" ht="42" customHeight="1" x14ac:dyDescent="0.25">
      <c r="A18" s="214" t="s">
        <v>260</v>
      </c>
      <c r="B18" s="285">
        <v>0</v>
      </c>
      <c r="C18" s="232">
        <v>0</v>
      </c>
      <c r="D18" s="232">
        <v>0</v>
      </c>
      <c r="E18" s="233">
        <f t="shared" si="0"/>
        <v>0</v>
      </c>
    </row>
    <row r="19" spans="1:6" x14ac:dyDescent="0.25">
      <c r="A19" s="213"/>
      <c r="B19" s="284"/>
      <c r="C19" s="237"/>
      <c r="D19" s="237"/>
      <c r="E19" s="238">
        <f t="shared" si="0"/>
        <v>0</v>
      </c>
    </row>
    <row r="20" spans="1:6" x14ac:dyDescent="0.25">
      <c r="A20" s="216" t="s">
        <v>261</v>
      </c>
      <c r="B20" s="284"/>
      <c r="C20" s="237"/>
      <c r="D20" s="237"/>
      <c r="E20" s="238">
        <f t="shared" si="0"/>
        <v>0</v>
      </c>
    </row>
    <row r="21" spans="1:6" x14ac:dyDescent="0.25">
      <c r="A21" s="213"/>
      <c r="B21" s="284"/>
      <c r="C21" s="237"/>
      <c r="D21" s="237"/>
      <c r="E21" s="238">
        <f t="shared" si="0"/>
        <v>0</v>
      </c>
    </row>
    <row r="22" spans="1:6" x14ac:dyDescent="0.25">
      <c r="A22" s="213"/>
      <c r="B22" s="284"/>
      <c r="C22" s="237"/>
      <c r="D22" s="237"/>
      <c r="E22" s="238">
        <f t="shared" si="0"/>
        <v>0</v>
      </c>
    </row>
    <row r="23" spans="1:6" x14ac:dyDescent="0.25">
      <c r="A23" s="213"/>
      <c r="B23" s="284"/>
      <c r="C23" s="237"/>
      <c r="D23" s="237"/>
      <c r="E23" s="238">
        <f t="shared" si="0"/>
        <v>0</v>
      </c>
    </row>
    <row r="24" spans="1:6" ht="16.5" thickBot="1" x14ac:dyDescent="0.3">
      <c r="A24" s="217" t="s">
        <v>85</v>
      </c>
      <c r="B24" s="286">
        <f>B9+B3</f>
        <v>12249000</v>
      </c>
      <c r="C24" s="286">
        <f>C9+C3</f>
        <v>12729997</v>
      </c>
      <c r="D24" s="286">
        <f>D9+D3</f>
        <v>12269780</v>
      </c>
      <c r="E24" s="287">
        <f t="shared" si="0"/>
        <v>-460217</v>
      </c>
      <c r="F24" s="211"/>
    </row>
    <row r="25" spans="1:6" x14ac:dyDescent="0.25">
      <c r="A25" s="218"/>
    </row>
    <row r="26" spans="1:6" x14ac:dyDescent="0.25">
      <c r="B26" s="219"/>
    </row>
    <row r="31" spans="1:6" x14ac:dyDescent="0.25">
      <c r="B31" s="220"/>
    </row>
    <row r="32" spans="1:6" x14ac:dyDescent="0.25">
      <c r="B32" s="220"/>
    </row>
    <row r="33" spans="2:2" x14ac:dyDescent="0.25">
      <c r="B33" s="220"/>
    </row>
  </sheetData>
  <mergeCells count="1">
    <mergeCell ref="A1:E1"/>
  </mergeCells>
  <pageMargins left="0.70866141732283472" right="0.70866141732283472" top="1.1417322834645669" bottom="0.74803149606299213" header="0.31496062992125984" footer="0.31496062992125984"/>
  <pageSetup paperSize="9" scale="88" orientation="portrait" r:id="rId1"/>
  <headerFooter>
    <oddHeader>&amp;C4. melléklet a ….../2017. (…...) önkormányzati rendelet tervezethez
Az önkormányzat 2017. évi költségvetéséről szóló 2/2017. (II.17.) önkormányzati rendelet 4. mellékletének helyébe a következő 4. melléklet lép: &amp;R&amp;P. oldal
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36"/>
  <sheetViews>
    <sheetView view="pageLayout" topLeftCell="A13" zoomScaleNormal="80" zoomScaleSheetLayoutView="80" workbookViewId="0">
      <selection activeCell="A30" sqref="A30"/>
    </sheetView>
  </sheetViews>
  <sheetFormatPr defaultColWidth="9" defaultRowHeight="18" customHeight="1" x14ac:dyDescent="0.25"/>
  <cols>
    <col min="1" max="1" width="50.5703125" style="172" customWidth="1"/>
    <col min="2" max="5" width="15.28515625" style="173" customWidth="1"/>
    <col min="6" max="6" width="15.28515625" style="174" customWidth="1"/>
    <col min="7" max="7" width="23.85546875" style="173" customWidth="1"/>
    <col min="8" max="16384" width="9" style="173"/>
  </cols>
  <sheetData>
    <row r="1" spans="1:7" ht="18" customHeight="1" thickBot="1" x14ac:dyDescent="0.3">
      <c r="A1" s="322" t="s">
        <v>353</v>
      </c>
      <c r="B1" s="322"/>
      <c r="C1" s="322"/>
      <c r="D1" s="322"/>
      <c r="E1" s="322"/>
    </row>
    <row r="2" spans="1:7" ht="39" customHeight="1" x14ac:dyDescent="0.25">
      <c r="A2" s="105" t="s">
        <v>84</v>
      </c>
      <c r="B2" s="40" t="s">
        <v>329</v>
      </c>
      <c r="C2" s="55" t="s">
        <v>326</v>
      </c>
      <c r="D2" s="55" t="s">
        <v>360</v>
      </c>
      <c r="E2" s="280" t="s">
        <v>327</v>
      </c>
    </row>
    <row r="3" spans="1:7" s="201" customFormat="1" ht="24.75" customHeight="1" x14ac:dyDescent="0.2">
      <c r="A3" s="202" t="s">
        <v>263</v>
      </c>
      <c r="B3" s="106">
        <f>B6+B14</f>
        <v>4331000</v>
      </c>
      <c r="C3" s="106">
        <f>C6+C14</f>
        <v>9531000</v>
      </c>
      <c r="D3" s="106">
        <f>D6+D14+D4+D12</f>
        <v>13663000</v>
      </c>
      <c r="E3" s="197">
        <f>D3-C3</f>
        <v>4132000</v>
      </c>
      <c r="F3" s="200"/>
    </row>
    <row r="4" spans="1:7" s="201" customFormat="1" ht="24.75" customHeight="1" x14ac:dyDescent="0.25">
      <c r="A4" s="108" t="s">
        <v>363</v>
      </c>
      <c r="B4" s="106"/>
      <c r="C4" s="106"/>
      <c r="D4" s="109">
        <v>1000000</v>
      </c>
      <c r="E4" s="282">
        <f t="shared" ref="E4:E5" si="0">D4-C4</f>
        <v>1000000</v>
      </c>
      <c r="F4" s="200"/>
    </row>
    <row r="5" spans="1:7" s="201" customFormat="1" ht="15.75" x14ac:dyDescent="0.25">
      <c r="A5" s="194" t="s">
        <v>364</v>
      </c>
      <c r="B5" s="106"/>
      <c r="C5" s="106"/>
      <c r="D5" s="111">
        <v>1000000</v>
      </c>
      <c r="E5" s="298">
        <f t="shared" si="0"/>
        <v>1000000</v>
      </c>
      <c r="F5" s="200"/>
    </row>
    <row r="6" spans="1:7" s="170" customFormat="1" ht="20.25" customHeight="1" x14ac:dyDescent="0.25">
      <c r="A6" s="294" t="s">
        <v>293</v>
      </c>
      <c r="B6" s="109">
        <f>B7+B8+B9+B10+B11</f>
        <v>3792275</v>
      </c>
      <c r="C6" s="109">
        <f>C7+C8+C9+C10+C11</f>
        <v>8792275</v>
      </c>
      <c r="D6" s="109">
        <f>D7+D8+D9+D10+D11</f>
        <v>8792275</v>
      </c>
      <c r="E6" s="282">
        <f t="shared" ref="E6:E36" si="1">D6-C6</f>
        <v>0</v>
      </c>
      <c r="F6" s="175"/>
      <c r="G6" s="171"/>
    </row>
    <row r="7" spans="1:7" s="170" customFormat="1" ht="21.2" customHeight="1" x14ac:dyDescent="0.25">
      <c r="A7" s="110" t="s">
        <v>315</v>
      </c>
      <c r="B7" s="111">
        <v>400000</v>
      </c>
      <c r="C7" s="295">
        <v>400000</v>
      </c>
      <c r="D7" s="295">
        <v>400000</v>
      </c>
      <c r="E7" s="282">
        <f t="shared" si="1"/>
        <v>0</v>
      </c>
      <c r="F7" s="175"/>
    </row>
    <row r="8" spans="1:7" s="170" customFormat="1" ht="21.2" customHeight="1" x14ac:dyDescent="0.25">
      <c r="A8" s="110" t="s">
        <v>316</v>
      </c>
      <c r="B8" s="111">
        <v>100000</v>
      </c>
      <c r="C8" s="295">
        <v>100000</v>
      </c>
      <c r="D8" s="295">
        <v>100000</v>
      </c>
      <c r="E8" s="282">
        <f t="shared" si="1"/>
        <v>0</v>
      </c>
      <c r="F8" s="175"/>
    </row>
    <row r="9" spans="1:7" s="170" customFormat="1" ht="21.2" customHeight="1" x14ac:dyDescent="0.25">
      <c r="A9" s="110" t="s">
        <v>317</v>
      </c>
      <c r="B9" s="111">
        <v>500000</v>
      </c>
      <c r="C9" s="295">
        <v>500000</v>
      </c>
      <c r="D9" s="295">
        <v>500000</v>
      </c>
      <c r="E9" s="282">
        <f t="shared" si="1"/>
        <v>0</v>
      </c>
      <c r="F9" s="175"/>
    </row>
    <row r="10" spans="1:7" s="170" customFormat="1" ht="21.2" customHeight="1" x14ac:dyDescent="0.25">
      <c r="A10" s="110" t="s">
        <v>318</v>
      </c>
      <c r="B10" s="111">
        <v>2292275</v>
      </c>
      <c r="C10" s="295">
        <f>2292275+5000000</f>
        <v>7292275</v>
      </c>
      <c r="D10" s="295">
        <v>7292275</v>
      </c>
      <c r="E10" s="282">
        <f t="shared" si="1"/>
        <v>0</v>
      </c>
      <c r="F10" s="175"/>
    </row>
    <row r="11" spans="1:7" s="170" customFormat="1" ht="21.2" customHeight="1" x14ac:dyDescent="0.25">
      <c r="A11" s="110" t="s">
        <v>319</v>
      </c>
      <c r="B11" s="111">
        <v>500000</v>
      </c>
      <c r="C11" s="295">
        <v>500000</v>
      </c>
      <c r="D11" s="295">
        <v>500000</v>
      </c>
      <c r="E11" s="282">
        <f t="shared" si="1"/>
        <v>0</v>
      </c>
      <c r="F11" s="175"/>
    </row>
    <row r="12" spans="1:7" s="170" customFormat="1" ht="20.25" customHeight="1" x14ac:dyDescent="0.25">
      <c r="A12" s="108" t="s">
        <v>294</v>
      </c>
      <c r="B12" s="109"/>
      <c r="C12" s="107"/>
      <c r="D12" s="107">
        <v>36000</v>
      </c>
      <c r="E12" s="282">
        <f t="shared" si="1"/>
        <v>36000</v>
      </c>
      <c r="F12" s="175"/>
    </row>
    <row r="13" spans="1:7" s="170" customFormat="1" ht="20.25" customHeight="1" x14ac:dyDescent="0.25">
      <c r="A13" s="110" t="s">
        <v>371</v>
      </c>
      <c r="B13" s="111"/>
      <c r="C13" s="295"/>
      <c r="D13" s="295">
        <v>36000</v>
      </c>
      <c r="E13" s="282"/>
      <c r="F13" s="175"/>
    </row>
    <row r="14" spans="1:7" s="170" customFormat="1" ht="20.25" customHeight="1" x14ac:dyDescent="0.25">
      <c r="A14" s="108" t="s">
        <v>295</v>
      </c>
      <c r="B14" s="109">
        <f>B15+B16+B17</f>
        <v>538725</v>
      </c>
      <c r="C14" s="109">
        <f>C15+C16+C17+C18+C20</f>
        <v>738725</v>
      </c>
      <c r="D14" s="109">
        <f>D15+D16+D17+D18+D20+D19+D21</f>
        <v>3834725</v>
      </c>
      <c r="E14" s="282">
        <f t="shared" si="1"/>
        <v>3096000</v>
      </c>
      <c r="F14" s="175"/>
    </row>
    <row r="15" spans="1:7" s="170" customFormat="1" ht="21.2" customHeight="1" x14ac:dyDescent="0.25">
      <c r="A15" s="110" t="s">
        <v>320</v>
      </c>
      <c r="B15" s="111">
        <v>85725</v>
      </c>
      <c r="C15" s="295">
        <v>85725</v>
      </c>
      <c r="D15" s="295">
        <v>85725</v>
      </c>
      <c r="E15" s="282">
        <f t="shared" si="1"/>
        <v>0</v>
      </c>
      <c r="F15" s="175"/>
    </row>
    <row r="16" spans="1:7" s="170" customFormat="1" ht="21.2" customHeight="1" x14ac:dyDescent="0.25">
      <c r="A16" s="110" t="s">
        <v>321</v>
      </c>
      <c r="B16" s="111">
        <v>300000</v>
      </c>
      <c r="C16" s="295">
        <v>300000</v>
      </c>
      <c r="D16" s="295">
        <v>300000</v>
      </c>
      <c r="E16" s="282">
        <f t="shared" si="1"/>
        <v>0</v>
      </c>
      <c r="F16" s="175"/>
    </row>
    <row r="17" spans="1:6" s="170" customFormat="1" ht="21.2" customHeight="1" x14ac:dyDescent="0.25">
      <c r="A17" s="110" t="s">
        <v>322</v>
      </c>
      <c r="B17" s="111">
        <v>153000</v>
      </c>
      <c r="C17" s="295">
        <v>153000</v>
      </c>
      <c r="D17" s="295">
        <v>153000</v>
      </c>
      <c r="E17" s="282">
        <f t="shared" si="1"/>
        <v>0</v>
      </c>
      <c r="F17" s="175"/>
    </row>
    <row r="18" spans="1:6" s="171" customFormat="1" ht="21.2" customHeight="1" x14ac:dyDescent="0.25">
      <c r="A18" s="194" t="s">
        <v>332</v>
      </c>
      <c r="B18" s="195"/>
      <c r="C18" s="296">
        <v>98000</v>
      </c>
      <c r="D18" s="296">
        <v>98000</v>
      </c>
      <c r="E18" s="282">
        <f t="shared" si="1"/>
        <v>0</v>
      </c>
      <c r="F18" s="176"/>
    </row>
    <row r="19" spans="1:6" s="171" customFormat="1" ht="21.2" customHeight="1" x14ac:dyDescent="0.25">
      <c r="A19" s="194" t="s">
        <v>365</v>
      </c>
      <c r="B19" s="195"/>
      <c r="C19" s="296"/>
      <c r="D19" s="296">
        <v>2000000</v>
      </c>
      <c r="E19" s="298">
        <f t="shared" si="1"/>
        <v>2000000</v>
      </c>
      <c r="F19" s="176"/>
    </row>
    <row r="20" spans="1:6" s="171" customFormat="1" ht="21.2" customHeight="1" x14ac:dyDescent="0.25">
      <c r="A20" s="194" t="s">
        <v>333</v>
      </c>
      <c r="B20" s="195"/>
      <c r="C20" s="296">
        <v>102000</v>
      </c>
      <c r="D20" s="296">
        <f>102000+46000</f>
        <v>148000</v>
      </c>
      <c r="E20" s="298">
        <f t="shared" si="1"/>
        <v>46000</v>
      </c>
      <c r="F20" s="176"/>
    </row>
    <row r="21" spans="1:6" s="171" customFormat="1" ht="31.5" customHeight="1" x14ac:dyDescent="0.25">
      <c r="A21" s="116" t="s">
        <v>373</v>
      </c>
      <c r="B21" s="195"/>
      <c r="C21" s="296"/>
      <c r="D21" s="296">
        <v>1050000</v>
      </c>
      <c r="E21" s="298">
        <f t="shared" si="1"/>
        <v>1050000</v>
      </c>
      <c r="F21" s="176"/>
    </row>
    <row r="22" spans="1:6" s="170" customFormat="1" ht="23.25" customHeight="1" x14ac:dyDescent="0.25">
      <c r="A22" s="108" t="s">
        <v>266</v>
      </c>
      <c r="B22" s="109"/>
      <c r="C22" s="107"/>
      <c r="D22" s="107"/>
      <c r="E22" s="282">
        <f t="shared" si="1"/>
        <v>0</v>
      </c>
      <c r="F22" s="175"/>
    </row>
    <row r="23" spans="1:6" s="171" customFormat="1" ht="22.5" customHeight="1" x14ac:dyDescent="0.25">
      <c r="A23" s="112" t="s">
        <v>264</v>
      </c>
      <c r="B23" s="113">
        <f>B24</f>
        <v>11615000</v>
      </c>
      <c r="C23" s="113">
        <f>C24</f>
        <v>26922636</v>
      </c>
      <c r="D23" s="113">
        <f>D24</f>
        <v>35887127</v>
      </c>
      <c r="E23" s="197">
        <f t="shared" si="1"/>
        <v>8964491</v>
      </c>
      <c r="F23" s="176"/>
    </row>
    <row r="24" spans="1:6" s="171" customFormat="1" ht="19.5" customHeight="1" x14ac:dyDescent="0.25">
      <c r="A24" s="114" t="s">
        <v>296</v>
      </c>
      <c r="B24" s="115">
        <f>B25+B26+B27+B28</f>
        <v>11615000</v>
      </c>
      <c r="C24" s="115">
        <f>C25+C26+C27+C28+C29</f>
        <v>26922636</v>
      </c>
      <c r="D24" s="115">
        <f>D25+D26+D27+D28+D29</f>
        <v>35887127</v>
      </c>
      <c r="E24" s="282">
        <f t="shared" si="1"/>
        <v>8964491</v>
      </c>
      <c r="F24" s="176"/>
    </row>
    <row r="25" spans="1:6" s="171" customFormat="1" ht="21.2" customHeight="1" x14ac:dyDescent="0.25">
      <c r="A25" s="116" t="s">
        <v>323</v>
      </c>
      <c r="B25" s="117">
        <v>315774</v>
      </c>
      <c r="C25" s="297">
        <v>315774</v>
      </c>
      <c r="D25" s="297">
        <v>315774</v>
      </c>
      <c r="E25" s="298">
        <f t="shared" si="1"/>
        <v>0</v>
      </c>
      <c r="F25" s="176"/>
    </row>
    <row r="26" spans="1:6" s="171" customFormat="1" ht="21.2" customHeight="1" x14ac:dyDescent="0.25">
      <c r="A26" s="116" t="s">
        <v>324</v>
      </c>
      <c r="B26" s="117">
        <v>9999226</v>
      </c>
      <c r="C26" s="297">
        <v>9999226</v>
      </c>
      <c r="D26" s="297">
        <v>9999226</v>
      </c>
      <c r="E26" s="298">
        <f t="shared" si="1"/>
        <v>0</v>
      </c>
      <c r="F26" s="176"/>
    </row>
    <row r="27" spans="1:6" s="171" customFormat="1" ht="30.75" customHeight="1" x14ac:dyDescent="0.25">
      <c r="A27" s="116" t="s">
        <v>325</v>
      </c>
      <c r="B27" s="117">
        <v>300000</v>
      </c>
      <c r="C27" s="297">
        <v>840372</v>
      </c>
      <c r="D27" s="297">
        <v>840372</v>
      </c>
      <c r="E27" s="298">
        <f t="shared" si="1"/>
        <v>0</v>
      </c>
      <c r="F27" s="176"/>
    </row>
    <row r="28" spans="1:6" s="171" customFormat="1" ht="30" customHeight="1" x14ac:dyDescent="0.25">
      <c r="A28" s="116" t="s">
        <v>372</v>
      </c>
      <c r="B28" s="117">
        <v>1000000</v>
      </c>
      <c r="C28" s="297">
        <v>14000000</v>
      </c>
      <c r="D28" s="297">
        <f>14000000-1050000</f>
        <v>12950000</v>
      </c>
      <c r="E28" s="298">
        <f t="shared" si="1"/>
        <v>-1050000</v>
      </c>
      <c r="F28" s="176"/>
    </row>
    <row r="29" spans="1:6" s="171" customFormat="1" ht="31.5" customHeight="1" x14ac:dyDescent="0.25">
      <c r="A29" s="116" t="s">
        <v>374</v>
      </c>
      <c r="B29" s="117"/>
      <c r="C29" s="297">
        <v>1767264</v>
      </c>
      <c r="D29" s="297">
        <f>1767264+10014491</f>
        <v>11781755</v>
      </c>
      <c r="E29" s="298">
        <f t="shared" si="1"/>
        <v>10014491</v>
      </c>
      <c r="F29" s="176"/>
    </row>
    <row r="30" spans="1:6" s="171" customFormat="1" ht="26.25" customHeight="1" x14ac:dyDescent="0.25">
      <c r="A30" s="112" t="s">
        <v>265</v>
      </c>
      <c r="B30" s="118">
        <f t="shared" ref="B30" si="2">B31</f>
        <v>0</v>
      </c>
      <c r="C30" s="182">
        <f>C31</f>
        <v>31650</v>
      </c>
      <c r="D30" s="182">
        <f>D31</f>
        <v>31650</v>
      </c>
      <c r="E30" s="197">
        <f t="shared" si="1"/>
        <v>0</v>
      </c>
      <c r="F30" s="176"/>
    </row>
    <row r="31" spans="1:6" s="171" customFormat="1" ht="27" customHeight="1" x14ac:dyDescent="0.25">
      <c r="A31" s="114" t="s">
        <v>267</v>
      </c>
      <c r="B31" s="120"/>
      <c r="C31" s="119">
        <v>31650</v>
      </c>
      <c r="D31" s="119">
        <v>31650</v>
      </c>
      <c r="E31" s="282">
        <f t="shared" si="1"/>
        <v>0</v>
      </c>
      <c r="F31" s="176"/>
    </row>
    <row r="32" spans="1:6" s="179" customFormat="1" ht="18" customHeight="1" x14ac:dyDescent="0.25">
      <c r="A32" s="121" t="s">
        <v>98</v>
      </c>
      <c r="B32" s="122">
        <f>B33+B34+B35</f>
        <v>1318000</v>
      </c>
      <c r="C32" s="122">
        <f>C33+C34+C35</f>
        <v>1885864</v>
      </c>
      <c r="D32" s="122">
        <f>D33+D34+D35</f>
        <v>2067274</v>
      </c>
      <c r="E32" s="197">
        <f t="shared" si="1"/>
        <v>181410</v>
      </c>
      <c r="F32" s="177"/>
    </row>
    <row r="33" spans="1:6" s="181" customFormat="1" ht="21" customHeight="1" x14ac:dyDescent="0.25">
      <c r="A33" s="59" t="s">
        <v>312</v>
      </c>
      <c r="B33" s="123"/>
      <c r="C33" s="180"/>
      <c r="D33" s="180"/>
      <c r="E33" s="282">
        <f t="shared" si="1"/>
        <v>0</v>
      </c>
      <c r="F33" s="178"/>
    </row>
    <row r="34" spans="1:6" s="181" customFormat="1" ht="21" customHeight="1" x14ac:dyDescent="0.25">
      <c r="A34" s="59" t="s">
        <v>96</v>
      </c>
      <c r="B34" s="123"/>
      <c r="C34" s="180"/>
      <c r="D34" s="180"/>
      <c r="E34" s="282">
        <f t="shared" si="1"/>
        <v>0</v>
      </c>
      <c r="F34" s="178"/>
    </row>
    <row r="35" spans="1:6" s="181" customFormat="1" ht="21" customHeight="1" x14ac:dyDescent="0.25">
      <c r="A35" s="59" t="s">
        <v>226</v>
      </c>
      <c r="B35" s="123">
        <f>1317358+642</f>
        <v>1318000</v>
      </c>
      <c r="C35" s="183">
        <v>1885864</v>
      </c>
      <c r="D35" s="183">
        <f>1885864+181410</f>
        <v>2067274</v>
      </c>
      <c r="E35" s="282">
        <f t="shared" si="1"/>
        <v>181410</v>
      </c>
      <c r="F35" s="178"/>
    </row>
    <row r="36" spans="1:6" s="199" customFormat="1" ht="31.5" customHeight="1" thickBot="1" x14ac:dyDescent="0.25">
      <c r="A36" s="305" t="s">
        <v>99</v>
      </c>
      <c r="B36" s="196">
        <f>B3+B23+B32+B30</f>
        <v>17264000</v>
      </c>
      <c r="C36" s="196">
        <f>C3+C23+C32+C30</f>
        <v>38371150</v>
      </c>
      <c r="D36" s="196">
        <f>D3+D23+D32+D30</f>
        <v>51649051</v>
      </c>
      <c r="E36" s="205">
        <f t="shared" si="1"/>
        <v>13277901</v>
      </c>
      <c r="F36" s="198">
        <f>E3+E23+E30+E32</f>
        <v>13277901</v>
      </c>
    </row>
  </sheetData>
  <sheetProtection selectLockedCells="1" selectUnlockedCells="1"/>
  <mergeCells count="1">
    <mergeCell ref="A1:E1"/>
  </mergeCells>
  <phoneticPr fontId="20" type="noConversion"/>
  <printOptions horizontalCentered="1"/>
  <pageMargins left="0.23622047244094491" right="0.23622047244094491" top="0.9055118110236221" bottom="0.11811023622047245" header="0.19685039370078741" footer="0.51181102362204722"/>
  <pageSetup paperSize="9" scale="90" firstPageNumber="0" orientation="portrait" r:id="rId1"/>
  <headerFooter alignWithMargins="0">
    <oddHeader>&amp;C5. melléklet a ….../2017. (…...) önkormányzati rendelet tervezethez
Az önkormányzat 2017. évi költségvetéséről szóló 2/2017. (II.17.) önkormányzati rendelet 5. mellékletének helyébe a következő 5. melléklet lép: &amp;R&amp;P. oldal
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J60"/>
  <sheetViews>
    <sheetView view="pageLayout" topLeftCell="A52" zoomScaleNormal="100" zoomScaleSheetLayoutView="89" workbookViewId="0">
      <selection activeCell="F60" sqref="F60"/>
    </sheetView>
  </sheetViews>
  <sheetFormatPr defaultColWidth="9.140625" defaultRowHeight="15.75" x14ac:dyDescent="0.25"/>
  <cols>
    <col min="1" max="1" width="35.42578125" style="125" customWidth="1"/>
    <col min="2" max="2" width="12.42578125" style="124" bestFit="1" customWidth="1"/>
    <col min="3" max="3" width="11.28515625" style="124" bestFit="1" customWidth="1"/>
    <col min="4" max="4" width="12.42578125" style="124" bestFit="1" customWidth="1"/>
    <col min="5" max="5" width="11.28515625" style="124" bestFit="1" customWidth="1"/>
    <col min="6" max="6" width="40.7109375" style="125" customWidth="1"/>
    <col min="7" max="7" width="12.85546875" style="124" customWidth="1"/>
    <col min="8" max="8" width="11.28515625" style="124" bestFit="1" customWidth="1"/>
    <col min="9" max="9" width="12.42578125" style="124" customWidth="1"/>
    <col min="10" max="10" width="11.28515625" style="124" bestFit="1" customWidth="1"/>
    <col min="11" max="11" width="9.140625" style="124"/>
    <col min="12" max="12" width="12.28515625" style="124" customWidth="1"/>
    <col min="13" max="16384" width="9.140625" style="124"/>
  </cols>
  <sheetData>
    <row r="2" spans="1:10" ht="15.75" customHeight="1" x14ac:dyDescent="0.25">
      <c r="A2" s="323" t="s">
        <v>354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16.5" thickBot="1" x14ac:dyDescent="0.3"/>
    <row r="4" spans="1:10" s="125" customFormat="1" ht="39.75" customHeight="1" x14ac:dyDescent="0.25">
      <c r="A4" s="271" t="s">
        <v>100</v>
      </c>
      <c r="B4" s="40" t="s">
        <v>329</v>
      </c>
      <c r="C4" s="55" t="s">
        <v>361</v>
      </c>
      <c r="D4" s="55" t="s">
        <v>362</v>
      </c>
      <c r="E4" s="55" t="s">
        <v>327</v>
      </c>
      <c r="F4" s="272" t="s">
        <v>101</v>
      </c>
      <c r="G4" s="40" t="s">
        <v>329</v>
      </c>
      <c r="H4" s="55" t="s">
        <v>361</v>
      </c>
      <c r="I4" s="55" t="s">
        <v>362</v>
      </c>
      <c r="J4" s="280" t="s">
        <v>327</v>
      </c>
    </row>
    <row r="5" spans="1:10" ht="29.25" customHeight="1" x14ac:dyDescent="0.25">
      <c r="A5" s="128" t="s">
        <v>102</v>
      </c>
      <c r="B5" s="102">
        <f>'1.sz.tábla '!B5</f>
        <v>25513930</v>
      </c>
      <c r="C5" s="102">
        <f>'1.sz.tábla '!C5</f>
        <v>27233822</v>
      </c>
      <c r="D5" s="102">
        <f>'1.sz.tábla '!D5</f>
        <v>30786309</v>
      </c>
      <c r="E5" s="102">
        <f>D5-C5</f>
        <v>3552487</v>
      </c>
      <c r="F5" s="129" t="s">
        <v>90</v>
      </c>
      <c r="G5" s="102">
        <f>'3.sz.tábla '!B6</f>
        <v>9751000</v>
      </c>
      <c r="H5" s="102">
        <f>'3.sz.tábla '!C6</f>
        <v>11277940</v>
      </c>
      <c r="I5" s="102">
        <f>'3.sz.tábla '!D6</f>
        <v>11685590</v>
      </c>
      <c r="J5" s="130">
        <f>I5-H5</f>
        <v>407650</v>
      </c>
    </row>
    <row r="6" spans="1:10" x14ac:dyDescent="0.25">
      <c r="A6" s="128" t="s">
        <v>103</v>
      </c>
      <c r="B6" s="102">
        <f>'1.sz.tábla '!B7</f>
        <v>11333000</v>
      </c>
      <c r="C6" s="102">
        <f>'1.sz.tábla '!C7</f>
        <v>11333000</v>
      </c>
      <c r="D6" s="102">
        <f>'1.sz.tábla '!D7</f>
        <v>11333000</v>
      </c>
      <c r="E6" s="102">
        <f t="shared" ref="E6:E23" si="0">D6-C6</f>
        <v>0</v>
      </c>
      <c r="F6" s="129" t="s">
        <v>339</v>
      </c>
      <c r="G6" s="129">
        <f>'3.sz.tábla '!B7</f>
        <v>2092100</v>
      </c>
      <c r="H6" s="129">
        <f>'3.sz.tábla '!C7</f>
        <v>2253529</v>
      </c>
      <c r="I6" s="129">
        <f>'3.sz.tábla '!D7</f>
        <v>2298370</v>
      </c>
      <c r="J6" s="130">
        <f t="shared" ref="J6:J22" si="1">I6-H6</f>
        <v>44841</v>
      </c>
    </row>
    <row r="7" spans="1:10" x14ac:dyDescent="0.25">
      <c r="A7" s="131" t="s">
        <v>104</v>
      </c>
      <c r="B7" s="102">
        <f>'1.sz.tábla '!B8</f>
        <v>3135070</v>
      </c>
      <c r="C7" s="102">
        <f>'1.sz.tábla '!C8</f>
        <v>3135070</v>
      </c>
      <c r="D7" s="102">
        <f>'1.sz.tábla '!D8</f>
        <v>3135070</v>
      </c>
      <c r="E7" s="102">
        <f t="shared" si="0"/>
        <v>0</v>
      </c>
      <c r="F7" s="129" t="s">
        <v>105</v>
      </c>
      <c r="G7" s="102">
        <f>'3.sz.tábla '!B8</f>
        <v>12859500</v>
      </c>
      <c r="H7" s="102">
        <f>'3.sz.tábla '!C8</f>
        <v>13259500</v>
      </c>
      <c r="I7" s="102">
        <f>'3.sz.tábla '!D8</f>
        <v>13521700</v>
      </c>
      <c r="J7" s="130">
        <f t="shared" si="1"/>
        <v>262200</v>
      </c>
    </row>
    <row r="8" spans="1:10" ht="31.5" x14ac:dyDescent="0.25">
      <c r="A8" s="128" t="s">
        <v>106</v>
      </c>
      <c r="B8" s="102"/>
      <c r="C8" s="102"/>
      <c r="D8" s="102"/>
      <c r="E8" s="102">
        <f t="shared" si="0"/>
        <v>0</v>
      </c>
      <c r="F8" s="129" t="s">
        <v>91</v>
      </c>
      <c r="G8" s="102">
        <f>'3.sz.tábla '!B24</f>
        <v>1810000</v>
      </c>
      <c r="H8" s="102">
        <f>'3.sz.tábla '!C24</f>
        <v>1810000</v>
      </c>
      <c r="I8" s="102">
        <f>'3.sz.tábla '!D24</f>
        <v>1810000</v>
      </c>
      <c r="J8" s="130">
        <f t="shared" si="1"/>
        <v>0</v>
      </c>
    </row>
    <row r="9" spans="1:10" x14ac:dyDescent="0.25">
      <c r="A9" s="131"/>
      <c r="B9" s="102"/>
      <c r="C9" s="102"/>
      <c r="D9" s="102"/>
      <c r="E9" s="102">
        <f t="shared" si="0"/>
        <v>0</v>
      </c>
      <c r="F9" s="129" t="s">
        <v>89</v>
      </c>
      <c r="G9" s="102">
        <f t="shared" ref="G9:I9" si="2">G10+G11+G12+G13</f>
        <v>12249000</v>
      </c>
      <c r="H9" s="102">
        <f t="shared" si="2"/>
        <v>12729997</v>
      </c>
      <c r="I9" s="102">
        <f t="shared" si="2"/>
        <v>12269780</v>
      </c>
      <c r="J9" s="130">
        <f t="shared" si="1"/>
        <v>-460217</v>
      </c>
    </row>
    <row r="10" spans="1:10" x14ac:dyDescent="0.25">
      <c r="A10" s="131"/>
      <c r="B10" s="102"/>
      <c r="C10" s="102"/>
      <c r="D10" s="102"/>
      <c r="E10" s="102">
        <f t="shared" si="0"/>
        <v>0</v>
      </c>
      <c r="F10" s="129" t="s">
        <v>227</v>
      </c>
      <c r="G10" s="102"/>
      <c r="H10" s="102"/>
      <c r="I10" s="102"/>
      <c r="J10" s="130">
        <f t="shared" si="1"/>
        <v>0</v>
      </c>
    </row>
    <row r="11" spans="1:10" x14ac:dyDescent="0.25">
      <c r="A11" s="128"/>
      <c r="B11" s="102"/>
      <c r="C11" s="102"/>
      <c r="D11" s="102"/>
      <c r="E11" s="102">
        <f t="shared" si="0"/>
        <v>0</v>
      </c>
      <c r="F11" s="129" t="s">
        <v>340</v>
      </c>
      <c r="G11" s="102">
        <f>'4.sz.tábla'!B3</f>
        <v>11209000</v>
      </c>
      <c r="H11" s="102">
        <f>'4.sz.tábla'!C3</f>
        <v>11483997</v>
      </c>
      <c r="I11" s="102">
        <f>'4.sz.tábla'!D3</f>
        <v>10706380</v>
      </c>
      <c r="J11" s="130">
        <f t="shared" si="1"/>
        <v>-777617</v>
      </c>
    </row>
    <row r="12" spans="1:10" x14ac:dyDescent="0.25">
      <c r="A12" s="132"/>
      <c r="B12" s="102"/>
      <c r="C12" s="102"/>
      <c r="D12" s="102"/>
      <c r="E12" s="102">
        <f t="shared" si="0"/>
        <v>0</v>
      </c>
      <c r="F12" s="129" t="s">
        <v>341</v>
      </c>
      <c r="G12" s="129">
        <f>'4.sz.tábla'!B9</f>
        <v>1040000</v>
      </c>
      <c r="H12" s="129">
        <f>'4.sz.tábla'!C9</f>
        <v>1246000</v>
      </c>
      <c r="I12" s="129">
        <f>'4.sz.tábla'!D9</f>
        <v>1563400</v>
      </c>
      <c r="J12" s="130">
        <f t="shared" si="1"/>
        <v>317400</v>
      </c>
    </row>
    <row r="13" spans="1:10" ht="31.5" x14ac:dyDescent="0.25">
      <c r="A13" s="128"/>
      <c r="B13" s="102"/>
      <c r="C13" s="102"/>
      <c r="D13" s="102"/>
      <c r="E13" s="102">
        <f t="shared" si="0"/>
        <v>0</v>
      </c>
      <c r="F13" s="129" t="s">
        <v>342</v>
      </c>
      <c r="G13" s="102"/>
      <c r="H13" s="102"/>
      <c r="I13" s="102"/>
      <c r="J13" s="130">
        <f t="shared" si="1"/>
        <v>0</v>
      </c>
    </row>
    <row r="14" spans="1:10" ht="18.75" customHeight="1" x14ac:dyDescent="0.25">
      <c r="A14" s="131"/>
      <c r="B14" s="102"/>
      <c r="C14" s="102"/>
      <c r="D14" s="102"/>
      <c r="E14" s="102">
        <f t="shared" si="0"/>
        <v>0</v>
      </c>
      <c r="F14" s="129" t="s">
        <v>222</v>
      </c>
      <c r="G14" s="102">
        <f>'1.sz.tábla '!B25</f>
        <v>17786400</v>
      </c>
      <c r="H14" s="102">
        <f>'1.sz.tábla '!C25</f>
        <v>15209209</v>
      </c>
      <c r="I14" s="102">
        <f>'1.sz.tábla '!D25</f>
        <v>15425222</v>
      </c>
      <c r="J14" s="130">
        <f t="shared" si="1"/>
        <v>216013</v>
      </c>
    </row>
    <row r="15" spans="1:10" s="137" customFormat="1" ht="31.5" x14ac:dyDescent="0.25">
      <c r="A15" s="133" t="s">
        <v>107</v>
      </c>
      <c r="B15" s="134">
        <f>SUM(B5:B14)</f>
        <v>39982000</v>
      </c>
      <c r="C15" s="134">
        <f>SUM(C5:C14)</f>
        <v>41701892</v>
      </c>
      <c r="D15" s="134">
        <f>SUM(D5:D14)</f>
        <v>45254379</v>
      </c>
      <c r="E15" s="134">
        <f t="shared" si="0"/>
        <v>3552487</v>
      </c>
      <c r="F15" s="135" t="s">
        <v>108</v>
      </c>
      <c r="G15" s="134">
        <f t="shared" ref="G15:I15" si="3">G5+G6+G7+G8+G9+G14</f>
        <v>56548000</v>
      </c>
      <c r="H15" s="134">
        <f t="shared" si="3"/>
        <v>56540175</v>
      </c>
      <c r="I15" s="134">
        <f t="shared" si="3"/>
        <v>57010662</v>
      </c>
      <c r="J15" s="136">
        <f t="shared" si="1"/>
        <v>470487</v>
      </c>
    </row>
    <row r="16" spans="1:10" s="137" customFormat="1" x14ac:dyDescent="0.25">
      <c r="A16" s="133" t="s">
        <v>109</v>
      </c>
      <c r="B16" s="134"/>
      <c r="C16" s="134"/>
      <c r="D16" s="134"/>
      <c r="E16" s="102">
        <f t="shared" si="0"/>
        <v>0</v>
      </c>
      <c r="F16" s="135" t="s">
        <v>110</v>
      </c>
      <c r="G16" s="134">
        <f>G15-B15</f>
        <v>16566000</v>
      </c>
      <c r="H16" s="134">
        <f>H15-C15</f>
        <v>14838283</v>
      </c>
      <c r="I16" s="134">
        <f>I15-D15</f>
        <v>11756283</v>
      </c>
      <c r="J16" s="136">
        <f t="shared" si="1"/>
        <v>-3082000</v>
      </c>
    </row>
    <row r="17" spans="1:10" s="137" customFormat="1" ht="31.5" x14ac:dyDescent="0.25">
      <c r="A17" s="133" t="s">
        <v>111</v>
      </c>
      <c r="B17" s="134">
        <f>SUM(B18)</f>
        <v>33500000</v>
      </c>
      <c r="C17" s="134">
        <f>SUM(C18)</f>
        <v>34311569</v>
      </c>
      <c r="D17" s="134">
        <f>SUM(D18)</f>
        <v>34311569</v>
      </c>
      <c r="E17" s="134">
        <f t="shared" si="0"/>
        <v>0</v>
      </c>
      <c r="F17" s="135" t="s">
        <v>112</v>
      </c>
      <c r="G17" s="134">
        <f t="shared" ref="G17:I17" si="4">G18+G19+G20+G21</f>
        <v>1318000</v>
      </c>
      <c r="H17" s="134">
        <f t="shared" si="4"/>
        <v>1885864</v>
      </c>
      <c r="I17" s="134">
        <f t="shared" si="4"/>
        <v>2067274</v>
      </c>
      <c r="J17" s="136">
        <f t="shared" si="1"/>
        <v>181410</v>
      </c>
    </row>
    <row r="18" spans="1:10" ht="31.5" x14ac:dyDescent="0.25">
      <c r="A18" s="131" t="s">
        <v>113</v>
      </c>
      <c r="B18" s="102">
        <f>'2.sz.tábla'!B68</f>
        <v>33500000</v>
      </c>
      <c r="C18" s="102">
        <f>'2.sz.tábla'!C68</f>
        <v>34311569</v>
      </c>
      <c r="D18" s="102">
        <f>'2.sz.tábla'!D68</f>
        <v>34311569</v>
      </c>
      <c r="E18" s="102">
        <f t="shared" si="0"/>
        <v>0</v>
      </c>
      <c r="F18" s="129" t="s">
        <v>232</v>
      </c>
      <c r="G18" s="102">
        <f>'5. sz. tábla'!B35</f>
        <v>1318000</v>
      </c>
      <c r="H18" s="102">
        <f>'5. sz. tábla'!C35</f>
        <v>1885864</v>
      </c>
      <c r="I18" s="102">
        <f>'5. sz. tábla'!D35</f>
        <v>2067274</v>
      </c>
      <c r="J18" s="130">
        <f t="shared" si="1"/>
        <v>181410</v>
      </c>
    </row>
    <row r="19" spans="1:10" s="137" customFormat="1" ht="31.5" x14ac:dyDescent="0.25">
      <c r="A19" s="133" t="s">
        <v>114</v>
      </c>
      <c r="B19" s="135">
        <f>SUM(B20:B22)</f>
        <v>330000</v>
      </c>
      <c r="C19" s="135">
        <f>SUM(C20:C22)</f>
        <v>897864</v>
      </c>
      <c r="D19" s="135">
        <f>SUM(D20:D22)</f>
        <v>1079274</v>
      </c>
      <c r="E19" s="134">
        <f t="shared" si="0"/>
        <v>181410</v>
      </c>
      <c r="F19" s="129" t="s">
        <v>314</v>
      </c>
      <c r="G19" s="102"/>
      <c r="H19" s="134"/>
      <c r="I19" s="134"/>
      <c r="J19" s="130">
        <f t="shared" si="1"/>
        <v>0</v>
      </c>
    </row>
    <row r="20" spans="1:10" x14ac:dyDescent="0.25">
      <c r="A20" s="131" t="s">
        <v>298</v>
      </c>
      <c r="B20" s="102">
        <f>'2.sz.tábla'!B73</f>
        <v>0</v>
      </c>
      <c r="C20" s="102">
        <f>'2.sz.tábla'!C73</f>
        <v>0</v>
      </c>
      <c r="D20" s="102">
        <f>'2.sz.tábla'!D73</f>
        <v>0</v>
      </c>
      <c r="E20" s="102">
        <f t="shared" si="0"/>
        <v>0</v>
      </c>
      <c r="F20" s="129" t="s">
        <v>234</v>
      </c>
      <c r="G20" s="102"/>
      <c r="H20" s="102"/>
      <c r="I20" s="102"/>
      <c r="J20" s="130">
        <f t="shared" si="1"/>
        <v>0</v>
      </c>
    </row>
    <row r="21" spans="1:10" ht="18" customHeight="1" x14ac:dyDescent="0.25">
      <c r="A21" s="131" t="s">
        <v>313</v>
      </c>
      <c r="B21" s="102"/>
      <c r="C21" s="102"/>
      <c r="D21" s="102"/>
      <c r="E21" s="102">
        <f t="shared" si="0"/>
        <v>0</v>
      </c>
      <c r="F21" s="129" t="s">
        <v>290</v>
      </c>
      <c r="G21" s="129">
        <f>'5. sz. tábla'!B34</f>
        <v>0</v>
      </c>
      <c r="H21" s="102"/>
      <c r="I21" s="102"/>
      <c r="J21" s="130">
        <f t="shared" si="1"/>
        <v>0</v>
      </c>
    </row>
    <row r="22" spans="1:10" ht="31.5" x14ac:dyDescent="0.25">
      <c r="A22" s="131" t="s">
        <v>233</v>
      </c>
      <c r="B22" s="102">
        <f>'2.sz.tábla'!B74</f>
        <v>330000</v>
      </c>
      <c r="C22" s="102">
        <f>'2.sz.tábla'!C74</f>
        <v>897864</v>
      </c>
      <c r="D22" s="102">
        <f>'2.sz.tábla'!D74</f>
        <v>1079274</v>
      </c>
      <c r="E22" s="102">
        <f t="shared" si="0"/>
        <v>181410</v>
      </c>
      <c r="F22" s="129"/>
      <c r="G22" s="102"/>
      <c r="H22" s="102"/>
      <c r="I22" s="102"/>
      <c r="J22" s="130">
        <f t="shared" si="1"/>
        <v>0</v>
      </c>
    </row>
    <row r="23" spans="1:10" ht="16.5" thickBot="1" x14ac:dyDescent="0.3">
      <c r="A23" s="138" t="s">
        <v>115</v>
      </c>
      <c r="B23" s="104">
        <f>B15+B17+B19</f>
        <v>73812000</v>
      </c>
      <c r="C23" s="104">
        <f>C15+C17+C19</f>
        <v>76911325</v>
      </c>
      <c r="D23" s="104">
        <f>D15+D17+D19</f>
        <v>80645222</v>
      </c>
      <c r="E23" s="104">
        <f t="shared" si="0"/>
        <v>3733897</v>
      </c>
      <c r="F23" s="139" t="s">
        <v>116</v>
      </c>
      <c r="G23" s="104">
        <f>G17+G15</f>
        <v>57866000</v>
      </c>
      <c r="H23" s="104">
        <f>H17+H15</f>
        <v>58426039</v>
      </c>
      <c r="I23" s="104">
        <f>I17+I15</f>
        <v>59077936</v>
      </c>
      <c r="J23" s="140">
        <f>I23-H23</f>
        <v>651897</v>
      </c>
    </row>
    <row r="25" spans="1:10" ht="15.75" customHeight="1" x14ac:dyDescent="0.25">
      <c r="A25" s="323" t="s">
        <v>355</v>
      </c>
      <c r="B25" s="323"/>
      <c r="C25" s="323"/>
      <c r="D25" s="323"/>
      <c r="E25" s="323"/>
      <c r="F25" s="323"/>
      <c r="G25" s="323"/>
      <c r="H25" s="323"/>
      <c r="I25" s="323"/>
      <c r="J25" s="323"/>
    </row>
    <row r="26" spans="1:10" ht="16.5" thickBot="1" x14ac:dyDescent="0.3"/>
    <row r="27" spans="1:10" s="125" customFormat="1" ht="31.5" x14ac:dyDescent="0.25">
      <c r="A27" s="126" t="s">
        <v>117</v>
      </c>
      <c r="B27" s="40" t="s">
        <v>329</v>
      </c>
      <c r="C27" s="55" t="s">
        <v>361</v>
      </c>
      <c r="D27" s="55" t="s">
        <v>362</v>
      </c>
      <c r="E27" s="55" t="s">
        <v>327</v>
      </c>
      <c r="F27" s="127" t="s">
        <v>118</v>
      </c>
      <c r="G27" s="40" t="s">
        <v>329</v>
      </c>
      <c r="H27" s="55" t="s">
        <v>361</v>
      </c>
      <c r="I27" s="55" t="s">
        <v>362</v>
      </c>
      <c r="J27" s="280" t="s">
        <v>327</v>
      </c>
    </row>
    <row r="28" spans="1:10" ht="31.5" x14ac:dyDescent="0.25">
      <c r="A28" s="128" t="s">
        <v>119</v>
      </c>
      <c r="B28" s="102">
        <f>'2.sz.tábla'!B19</f>
        <v>0</v>
      </c>
      <c r="C28" s="102">
        <f>'2.sz.tábla'!C19</f>
        <v>18000000</v>
      </c>
      <c r="D28" s="102">
        <f>'2.sz.tábla'!D19</f>
        <v>28014491</v>
      </c>
      <c r="E28" s="102">
        <f>D28-C28</f>
        <v>10014491</v>
      </c>
      <c r="F28" s="129" t="s">
        <v>120</v>
      </c>
      <c r="G28" s="102">
        <f>'5. sz. tábla'!B3</f>
        <v>4331000</v>
      </c>
      <c r="H28" s="102">
        <f>'5. sz. tábla'!C3</f>
        <v>9531000</v>
      </c>
      <c r="I28" s="102">
        <f>'5. sz. tábla'!D3</f>
        <v>13663000</v>
      </c>
      <c r="J28" s="130">
        <f>I28-H28</f>
        <v>4132000</v>
      </c>
    </row>
    <row r="29" spans="1:10" x14ac:dyDescent="0.25">
      <c r="A29" s="131" t="s">
        <v>121</v>
      </c>
      <c r="B29" s="102">
        <f>'2.sz.tábla'!B53</f>
        <v>0</v>
      </c>
      <c r="C29" s="102">
        <f>'2.sz.tábla'!C53</f>
        <v>0</v>
      </c>
      <c r="D29" s="102">
        <f>'2.sz.tábla'!D53</f>
        <v>0</v>
      </c>
      <c r="E29" s="102">
        <f t="shared" ref="E29:E43" si="5">D29-C29</f>
        <v>0</v>
      </c>
      <c r="F29" s="129" t="s">
        <v>122</v>
      </c>
      <c r="G29" s="102"/>
      <c r="H29" s="102"/>
      <c r="I29" s="102"/>
      <c r="J29" s="130">
        <f t="shared" ref="J29:J43" si="6">I29-H29</f>
        <v>0</v>
      </c>
    </row>
    <row r="30" spans="1:10" ht="31.5" x14ac:dyDescent="0.25">
      <c r="A30" s="131" t="s">
        <v>123</v>
      </c>
      <c r="B30" s="102">
        <f>'2.sz.tábla'!B62</f>
        <v>0</v>
      </c>
      <c r="C30" s="102">
        <f>'2.sz.tábla'!C62</f>
        <v>0</v>
      </c>
      <c r="D30" s="102">
        <f>'2.sz.tábla'!D62</f>
        <v>0</v>
      </c>
      <c r="E30" s="102">
        <f t="shared" si="5"/>
        <v>0</v>
      </c>
      <c r="F30" s="129" t="s">
        <v>124</v>
      </c>
      <c r="G30" s="102">
        <f>'5. sz. tábla'!B23</f>
        <v>11615000</v>
      </c>
      <c r="H30" s="102">
        <f>'5. sz. tábla'!C23</f>
        <v>26922636</v>
      </c>
      <c r="I30" s="102">
        <f>'5. sz. tábla'!D23</f>
        <v>35887127</v>
      </c>
      <c r="J30" s="130">
        <f t="shared" si="6"/>
        <v>8964491</v>
      </c>
    </row>
    <row r="31" spans="1:10" x14ac:dyDescent="0.25">
      <c r="A31" s="131"/>
      <c r="B31" s="102"/>
      <c r="C31" s="102"/>
      <c r="D31" s="102"/>
      <c r="E31" s="102">
        <f t="shared" si="5"/>
        <v>0</v>
      </c>
      <c r="F31" s="129" t="s">
        <v>125</v>
      </c>
      <c r="G31" s="102">
        <f>G32+G33+G34+G35</f>
        <v>0</v>
      </c>
      <c r="H31" s="102">
        <f>H32+H33+H34+H35</f>
        <v>31650</v>
      </c>
      <c r="I31" s="102">
        <f>I32+I33+I34+I35</f>
        <v>31650</v>
      </c>
      <c r="J31" s="130">
        <f t="shared" si="6"/>
        <v>0</v>
      </c>
    </row>
    <row r="32" spans="1:10" ht="31.5" x14ac:dyDescent="0.25">
      <c r="A32" s="131"/>
      <c r="B32" s="102"/>
      <c r="C32" s="102"/>
      <c r="D32" s="102"/>
      <c r="E32" s="102">
        <f t="shared" si="5"/>
        <v>0</v>
      </c>
      <c r="F32" s="129" t="s">
        <v>126</v>
      </c>
      <c r="G32" s="102"/>
      <c r="H32" s="102"/>
      <c r="I32" s="102"/>
      <c r="J32" s="130">
        <f t="shared" si="6"/>
        <v>0</v>
      </c>
    </row>
    <row r="33" spans="1:10" ht="27" customHeight="1" x14ac:dyDescent="0.25">
      <c r="A33" s="131"/>
      <c r="B33" s="102"/>
      <c r="C33" s="102"/>
      <c r="D33" s="102"/>
      <c r="E33" s="102">
        <f t="shared" si="5"/>
        <v>0</v>
      </c>
      <c r="F33" s="141" t="s">
        <v>127</v>
      </c>
      <c r="G33" s="102">
        <f>'5. sz. tábla'!B31</f>
        <v>0</v>
      </c>
      <c r="H33" s="102">
        <f>'5. sz. tábla'!C31</f>
        <v>31650</v>
      </c>
      <c r="I33" s="102">
        <f>'5. sz. tábla'!D31</f>
        <v>31650</v>
      </c>
      <c r="J33" s="130">
        <f t="shared" si="6"/>
        <v>0</v>
      </c>
    </row>
    <row r="34" spans="1:10" ht="47.25" x14ac:dyDescent="0.25">
      <c r="A34" s="131"/>
      <c r="B34" s="102"/>
      <c r="C34" s="102"/>
      <c r="D34" s="102"/>
      <c r="E34" s="102">
        <f t="shared" si="5"/>
        <v>0</v>
      </c>
      <c r="F34" s="129" t="s">
        <v>235</v>
      </c>
      <c r="G34" s="102"/>
      <c r="H34" s="102"/>
      <c r="I34" s="102"/>
      <c r="J34" s="130">
        <f t="shared" si="6"/>
        <v>0</v>
      </c>
    </row>
    <row r="35" spans="1:10" ht="47.25" x14ac:dyDescent="0.25">
      <c r="A35" s="131"/>
      <c r="B35" s="102"/>
      <c r="C35" s="102"/>
      <c r="D35" s="102"/>
      <c r="E35" s="102">
        <f t="shared" si="5"/>
        <v>0</v>
      </c>
      <c r="F35" s="129" t="s">
        <v>128</v>
      </c>
      <c r="G35" s="102"/>
      <c r="H35" s="102"/>
      <c r="I35" s="102"/>
      <c r="J35" s="130">
        <f t="shared" si="6"/>
        <v>0</v>
      </c>
    </row>
    <row r="36" spans="1:10" s="137" customFormat="1" ht="31.5" x14ac:dyDescent="0.25">
      <c r="A36" s="133" t="s">
        <v>129</v>
      </c>
      <c r="B36" s="134">
        <f>SUM(B28:B34)</f>
        <v>0</v>
      </c>
      <c r="C36" s="134">
        <f>SUM(C28:C34)</f>
        <v>18000000</v>
      </c>
      <c r="D36" s="134">
        <f>SUM(D28:D34)</f>
        <v>28014491</v>
      </c>
      <c r="E36" s="134">
        <f t="shared" si="5"/>
        <v>10014491</v>
      </c>
      <c r="F36" s="135" t="s">
        <v>130</v>
      </c>
      <c r="G36" s="134">
        <f>SUM(G28:G31)</f>
        <v>15946000</v>
      </c>
      <c r="H36" s="134">
        <f>SUM(H28:H31)</f>
        <v>36485286</v>
      </c>
      <c r="I36" s="134">
        <f>SUM(I28:I31)</f>
        <v>49581777</v>
      </c>
      <c r="J36" s="136">
        <f t="shared" si="6"/>
        <v>13096491</v>
      </c>
    </row>
    <row r="37" spans="1:10" s="137" customFormat="1" x14ac:dyDescent="0.25">
      <c r="A37" s="133" t="s">
        <v>131</v>
      </c>
      <c r="B37" s="134"/>
      <c r="C37" s="134"/>
      <c r="D37" s="134"/>
      <c r="E37" s="102">
        <f t="shared" si="5"/>
        <v>0</v>
      </c>
      <c r="F37" s="135" t="s">
        <v>133</v>
      </c>
      <c r="G37" s="134">
        <f>G36-B36</f>
        <v>15946000</v>
      </c>
      <c r="H37" s="134">
        <f>H36-C36</f>
        <v>18485286</v>
      </c>
      <c r="I37" s="134">
        <f>I36-D36</f>
        <v>21567286</v>
      </c>
      <c r="J37" s="136">
        <f t="shared" si="6"/>
        <v>3082000</v>
      </c>
    </row>
    <row r="38" spans="1:10" s="137" customFormat="1" ht="31.5" x14ac:dyDescent="0.25">
      <c r="A38" s="133" t="s">
        <v>134</v>
      </c>
      <c r="B38" s="134">
        <f t="shared" ref="B38:D38" si="7">SUM(B39)</f>
        <v>0</v>
      </c>
      <c r="C38" s="134">
        <f t="shared" si="7"/>
        <v>0</v>
      </c>
      <c r="D38" s="134">
        <f t="shared" si="7"/>
        <v>0</v>
      </c>
      <c r="E38" s="134">
        <f t="shared" si="5"/>
        <v>0</v>
      </c>
      <c r="F38" s="135" t="s">
        <v>135</v>
      </c>
      <c r="G38" s="134">
        <f t="shared" ref="G38:I38" si="8">SUM(G39:G41)</f>
        <v>0</v>
      </c>
      <c r="H38" s="134">
        <f t="shared" si="8"/>
        <v>0</v>
      </c>
      <c r="I38" s="134">
        <f t="shared" si="8"/>
        <v>0</v>
      </c>
      <c r="J38" s="136">
        <f t="shared" si="6"/>
        <v>0</v>
      </c>
    </row>
    <row r="39" spans="1:10" x14ac:dyDescent="0.25">
      <c r="A39" s="131" t="s">
        <v>136</v>
      </c>
      <c r="B39" s="102">
        <f>'2.sz.tábla'!B71</f>
        <v>0</v>
      </c>
      <c r="C39" s="102">
        <f>'2.sz.tábla'!C71</f>
        <v>0</v>
      </c>
      <c r="D39" s="102">
        <f>'2.sz.tábla'!D71</f>
        <v>0</v>
      </c>
      <c r="E39" s="102">
        <f t="shared" si="5"/>
        <v>0</v>
      </c>
      <c r="F39" s="129" t="s">
        <v>137</v>
      </c>
      <c r="G39" s="102"/>
      <c r="H39" s="102"/>
      <c r="I39" s="102"/>
      <c r="J39" s="130">
        <f t="shared" si="6"/>
        <v>0</v>
      </c>
    </row>
    <row r="40" spans="1:10" ht="31.5" x14ac:dyDescent="0.25">
      <c r="A40" s="133" t="s">
        <v>138</v>
      </c>
      <c r="B40" s="134">
        <f>SUM(B41:B42)</f>
        <v>0</v>
      </c>
      <c r="C40" s="134">
        <f>SUM(C41:C42)</f>
        <v>0</v>
      </c>
      <c r="D40" s="134">
        <f>SUM(D41:D42)</f>
        <v>0</v>
      </c>
      <c r="E40" s="134">
        <f t="shared" si="5"/>
        <v>0</v>
      </c>
      <c r="F40" s="129" t="s">
        <v>139</v>
      </c>
      <c r="G40" s="102"/>
      <c r="H40" s="102"/>
      <c r="I40" s="102"/>
      <c r="J40" s="130">
        <f t="shared" si="6"/>
        <v>0</v>
      </c>
    </row>
    <row r="41" spans="1:10" ht="31.5" x14ac:dyDescent="0.25">
      <c r="A41" s="131" t="s">
        <v>140</v>
      </c>
      <c r="B41" s="102"/>
      <c r="C41" s="102"/>
      <c r="D41" s="102"/>
      <c r="E41" s="102">
        <f t="shared" si="5"/>
        <v>0</v>
      </c>
      <c r="F41" s="129" t="s">
        <v>231</v>
      </c>
      <c r="G41" s="102"/>
      <c r="H41" s="102"/>
      <c r="I41" s="102"/>
      <c r="J41" s="130">
        <f t="shared" si="6"/>
        <v>0</v>
      </c>
    </row>
    <row r="42" spans="1:10" x14ac:dyDescent="0.25">
      <c r="A42" s="131" t="s">
        <v>141</v>
      </c>
      <c r="B42" s="102"/>
      <c r="C42" s="102"/>
      <c r="D42" s="102"/>
      <c r="E42" s="102">
        <f t="shared" si="5"/>
        <v>0</v>
      </c>
      <c r="F42" s="129"/>
      <c r="G42" s="102"/>
      <c r="H42" s="102"/>
      <c r="I42" s="102"/>
      <c r="J42" s="130">
        <f t="shared" si="6"/>
        <v>0</v>
      </c>
    </row>
    <row r="43" spans="1:10" s="137" customFormat="1" ht="16.5" thickBot="1" x14ac:dyDescent="0.3">
      <c r="A43" s="138" t="s">
        <v>142</v>
      </c>
      <c r="B43" s="104">
        <f>B36+B38+B40</f>
        <v>0</v>
      </c>
      <c r="C43" s="104">
        <f>C36+C38+C40</f>
        <v>18000000</v>
      </c>
      <c r="D43" s="104">
        <f>D36+D38+D40</f>
        <v>28014491</v>
      </c>
      <c r="E43" s="104">
        <f t="shared" si="5"/>
        <v>10014491</v>
      </c>
      <c r="F43" s="139" t="s">
        <v>143</v>
      </c>
      <c r="G43" s="104">
        <f>G36+G38</f>
        <v>15946000</v>
      </c>
      <c r="H43" s="104">
        <f>H36+H38</f>
        <v>36485286</v>
      </c>
      <c r="I43" s="104">
        <f>I36+I38</f>
        <v>49581777</v>
      </c>
      <c r="J43" s="140">
        <f t="shared" si="6"/>
        <v>13096491</v>
      </c>
    </row>
    <row r="44" spans="1:10" x14ac:dyDescent="0.25">
      <c r="A44" s="142"/>
      <c r="B44" s="143"/>
      <c r="C44" s="143"/>
      <c r="D44" s="143"/>
      <c r="E44" s="143"/>
      <c r="F44" s="142"/>
      <c r="G44" s="143"/>
    </row>
    <row r="45" spans="1:10" x14ac:dyDescent="0.25">
      <c r="A45" s="142"/>
      <c r="B45" s="143"/>
      <c r="C45" s="143"/>
      <c r="D45" s="143"/>
      <c r="E45" s="143"/>
      <c r="F45" s="142"/>
      <c r="G45" s="143"/>
    </row>
    <row r="46" spans="1:10" ht="15.75" customHeight="1" x14ac:dyDescent="0.25">
      <c r="A46" s="323" t="s">
        <v>356</v>
      </c>
      <c r="B46" s="323"/>
      <c r="C46" s="323"/>
      <c r="D46" s="323"/>
      <c r="E46" s="323"/>
      <c r="F46" s="323"/>
      <c r="G46" s="323"/>
      <c r="H46" s="323"/>
      <c r="I46" s="323"/>
      <c r="J46" s="323"/>
    </row>
    <row r="47" spans="1:10" ht="16.5" thickBot="1" x14ac:dyDescent="0.3"/>
    <row r="48" spans="1:10" s="125" customFormat="1" ht="31.5" x14ac:dyDescent="0.25">
      <c r="A48" s="126" t="s">
        <v>144</v>
      </c>
      <c r="B48" s="40" t="s">
        <v>329</v>
      </c>
      <c r="C48" s="55" t="s">
        <v>361</v>
      </c>
      <c r="D48" s="55" t="s">
        <v>362</v>
      </c>
      <c r="E48" s="55" t="s">
        <v>327</v>
      </c>
      <c r="F48" s="127" t="s">
        <v>145</v>
      </c>
      <c r="G48" s="40" t="s">
        <v>329</v>
      </c>
      <c r="H48" s="55" t="s">
        <v>361</v>
      </c>
      <c r="I48" s="55" t="s">
        <v>362</v>
      </c>
      <c r="J48" s="280" t="s">
        <v>327</v>
      </c>
    </row>
    <row r="49" spans="1:10" x14ac:dyDescent="0.25">
      <c r="A49" s="131" t="s">
        <v>146</v>
      </c>
      <c r="B49" s="102">
        <f>B15</f>
        <v>39982000</v>
      </c>
      <c r="C49" s="102">
        <f>C15</f>
        <v>41701892</v>
      </c>
      <c r="D49" s="102">
        <f>D15</f>
        <v>45254379</v>
      </c>
      <c r="E49" s="102">
        <f>D49-C49</f>
        <v>3552487</v>
      </c>
      <c r="F49" s="129" t="s">
        <v>147</v>
      </c>
      <c r="G49" s="102">
        <f>G15</f>
        <v>56548000</v>
      </c>
      <c r="H49" s="102">
        <f>H15</f>
        <v>56540175</v>
      </c>
      <c r="I49" s="102">
        <f>I15</f>
        <v>57010662</v>
      </c>
      <c r="J49" s="130">
        <f>I49-H49</f>
        <v>470487</v>
      </c>
    </row>
    <row r="50" spans="1:10" x14ac:dyDescent="0.25">
      <c r="A50" s="131" t="s">
        <v>148</v>
      </c>
      <c r="B50" s="102">
        <f>B36</f>
        <v>0</v>
      </c>
      <c r="C50" s="102">
        <f>C36</f>
        <v>18000000</v>
      </c>
      <c r="D50" s="102">
        <f>D36</f>
        <v>28014491</v>
      </c>
      <c r="E50" s="102">
        <f t="shared" ref="E50:E59" si="9">D50-C50</f>
        <v>10014491</v>
      </c>
      <c r="F50" s="129" t="s">
        <v>149</v>
      </c>
      <c r="G50" s="102">
        <f>G36</f>
        <v>15946000</v>
      </c>
      <c r="H50" s="102">
        <f>H36</f>
        <v>36485286</v>
      </c>
      <c r="I50" s="102">
        <f>I36</f>
        <v>49581777</v>
      </c>
      <c r="J50" s="130">
        <f t="shared" ref="J50:J59" si="10">I50-H50</f>
        <v>13096491</v>
      </c>
    </row>
    <row r="51" spans="1:10" s="137" customFormat="1" x14ac:dyDescent="0.25">
      <c r="A51" s="133" t="s">
        <v>11</v>
      </c>
      <c r="B51" s="134">
        <f t="shared" ref="B51:D51" si="11">SUM(B49:B50)</f>
        <v>39982000</v>
      </c>
      <c r="C51" s="134">
        <f t="shared" si="11"/>
        <v>59701892</v>
      </c>
      <c r="D51" s="134">
        <f t="shared" si="11"/>
        <v>73268870</v>
      </c>
      <c r="E51" s="134">
        <f t="shared" si="9"/>
        <v>13566978</v>
      </c>
      <c r="F51" s="135" t="s">
        <v>20</v>
      </c>
      <c r="G51" s="134">
        <f>SUM(G49:G50)</f>
        <v>72494000</v>
      </c>
      <c r="H51" s="134">
        <f>SUM(H49:H50)</f>
        <v>93025461</v>
      </c>
      <c r="I51" s="134">
        <f>SUM(I49:I50)</f>
        <v>106592439</v>
      </c>
      <c r="J51" s="136">
        <f t="shared" si="10"/>
        <v>13566978</v>
      </c>
    </row>
    <row r="52" spans="1:10" s="137" customFormat="1" x14ac:dyDescent="0.25">
      <c r="A52" s="133" t="s">
        <v>150</v>
      </c>
      <c r="B52" s="134"/>
      <c r="C52" s="134"/>
      <c r="D52" s="134"/>
      <c r="E52" s="102">
        <f t="shared" si="9"/>
        <v>0</v>
      </c>
      <c r="F52" s="135" t="s">
        <v>151</v>
      </c>
      <c r="G52" s="134">
        <f>G51-B51</f>
        <v>32512000</v>
      </c>
      <c r="H52" s="134">
        <f>H51-C51</f>
        <v>33323569</v>
      </c>
      <c r="I52" s="134">
        <f>I51-D51</f>
        <v>33323569</v>
      </c>
      <c r="J52" s="136">
        <f t="shared" si="10"/>
        <v>0</v>
      </c>
    </row>
    <row r="53" spans="1:10" s="137" customFormat="1" ht="31.5" x14ac:dyDescent="0.25">
      <c r="A53" s="133" t="s">
        <v>152</v>
      </c>
      <c r="B53" s="134">
        <f>SUM(B54:B55)</f>
        <v>33500000</v>
      </c>
      <c r="C53" s="134">
        <f>SUM(C54:C55)</f>
        <v>34311569</v>
      </c>
      <c r="D53" s="134">
        <f>SUM(D54:D55)</f>
        <v>34311569</v>
      </c>
      <c r="E53" s="134">
        <f t="shared" si="9"/>
        <v>0</v>
      </c>
      <c r="F53" s="135" t="s">
        <v>153</v>
      </c>
      <c r="G53" s="134">
        <f>SUM(G54:G55)</f>
        <v>1318000</v>
      </c>
      <c r="H53" s="134">
        <f>SUM(H54:H55)</f>
        <v>1885864</v>
      </c>
      <c r="I53" s="134">
        <f>SUM(I54:I55)</f>
        <v>2067274</v>
      </c>
      <c r="J53" s="136">
        <f t="shared" si="10"/>
        <v>181410</v>
      </c>
    </row>
    <row r="54" spans="1:10" ht="31.5" x14ac:dyDescent="0.25">
      <c r="A54" s="131" t="s">
        <v>111</v>
      </c>
      <c r="B54" s="102">
        <f>B17</f>
        <v>33500000</v>
      </c>
      <c r="C54" s="102">
        <f>C17</f>
        <v>34311569</v>
      </c>
      <c r="D54" s="102">
        <f>D17</f>
        <v>34311569</v>
      </c>
      <c r="E54" s="102">
        <f t="shared" si="9"/>
        <v>0</v>
      </c>
      <c r="F54" s="129" t="s">
        <v>154</v>
      </c>
      <c r="G54" s="102">
        <f>G17</f>
        <v>1318000</v>
      </c>
      <c r="H54" s="102">
        <f>H17</f>
        <v>1885864</v>
      </c>
      <c r="I54" s="102">
        <f>I17</f>
        <v>2067274</v>
      </c>
      <c r="J54" s="130">
        <f t="shared" si="10"/>
        <v>181410</v>
      </c>
    </row>
    <row r="55" spans="1:10" ht="31.5" x14ac:dyDescent="0.25">
      <c r="A55" s="131" t="s">
        <v>134</v>
      </c>
      <c r="B55" s="102">
        <f>B38</f>
        <v>0</v>
      </c>
      <c r="C55" s="102">
        <f>C38</f>
        <v>0</v>
      </c>
      <c r="D55" s="102">
        <f>D38</f>
        <v>0</v>
      </c>
      <c r="E55" s="102">
        <f t="shared" si="9"/>
        <v>0</v>
      </c>
      <c r="F55" s="129" t="s">
        <v>155</v>
      </c>
      <c r="G55" s="102">
        <f>G38</f>
        <v>0</v>
      </c>
      <c r="H55" s="102">
        <f>H38</f>
        <v>0</v>
      </c>
      <c r="I55" s="102">
        <f>I38</f>
        <v>0</v>
      </c>
      <c r="J55" s="130">
        <f t="shared" si="10"/>
        <v>0</v>
      </c>
    </row>
    <row r="56" spans="1:10" s="137" customFormat="1" ht="31.5" x14ac:dyDescent="0.25">
      <c r="A56" s="133" t="s">
        <v>156</v>
      </c>
      <c r="B56" s="134">
        <f t="shared" ref="B56:D56" si="12">SUM(B57:B58)</f>
        <v>330000</v>
      </c>
      <c r="C56" s="134">
        <f t="shared" si="12"/>
        <v>897864</v>
      </c>
      <c r="D56" s="134">
        <f t="shared" si="12"/>
        <v>1079274</v>
      </c>
      <c r="E56" s="134">
        <f t="shared" si="9"/>
        <v>181410</v>
      </c>
      <c r="F56" s="135"/>
      <c r="G56" s="135"/>
      <c r="H56" s="134"/>
      <c r="I56" s="134"/>
      <c r="J56" s="130">
        <f t="shared" si="10"/>
        <v>0</v>
      </c>
    </row>
    <row r="57" spans="1:10" ht="31.5" x14ac:dyDescent="0.25">
      <c r="A57" s="131" t="s">
        <v>114</v>
      </c>
      <c r="B57" s="102">
        <f t="shared" ref="B57:D57" si="13">B19</f>
        <v>330000</v>
      </c>
      <c r="C57" s="102">
        <f t="shared" si="13"/>
        <v>897864</v>
      </c>
      <c r="D57" s="102">
        <f t="shared" si="13"/>
        <v>1079274</v>
      </c>
      <c r="E57" s="102">
        <f t="shared" si="9"/>
        <v>181410</v>
      </c>
      <c r="F57" s="129"/>
      <c r="G57" s="102"/>
      <c r="H57" s="102"/>
      <c r="I57" s="102"/>
      <c r="J57" s="130">
        <f t="shared" si="10"/>
        <v>0</v>
      </c>
    </row>
    <row r="58" spans="1:10" ht="31.5" x14ac:dyDescent="0.25">
      <c r="A58" s="131" t="s">
        <v>138</v>
      </c>
      <c r="B58" s="102">
        <f>B40</f>
        <v>0</v>
      </c>
      <c r="C58" s="102">
        <f>C40</f>
        <v>0</v>
      </c>
      <c r="D58" s="102">
        <f>D40</f>
        <v>0</v>
      </c>
      <c r="E58" s="102">
        <f t="shared" si="9"/>
        <v>0</v>
      </c>
      <c r="F58" s="135"/>
      <c r="G58" s="134"/>
      <c r="H58" s="102"/>
      <c r="I58" s="102"/>
      <c r="J58" s="130">
        <f t="shared" si="10"/>
        <v>0</v>
      </c>
    </row>
    <row r="59" spans="1:10" s="137" customFormat="1" ht="16.5" thickBot="1" x14ac:dyDescent="0.3">
      <c r="A59" s="138" t="s">
        <v>65</v>
      </c>
      <c r="B59" s="104">
        <f>B51+B53+B56</f>
        <v>73812000</v>
      </c>
      <c r="C59" s="104">
        <f>C51+C53+C56</f>
        <v>94911325</v>
      </c>
      <c r="D59" s="104">
        <f>D51+D53+D56</f>
        <v>108659713</v>
      </c>
      <c r="E59" s="104">
        <f t="shared" si="9"/>
        <v>13748388</v>
      </c>
      <c r="F59" s="139" t="s">
        <v>157</v>
      </c>
      <c r="G59" s="104">
        <f>G51+G53</f>
        <v>73812000</v>
      </c>
      <c r="H59" s="104">
        <f>H51+H53</f>
        <v>94911325</v>
      </c>
      <c r="I59" s="104">
        <f>I51+I53</f>
        <v>108659713</v>
      </c>
      <c r="J59" s="140">
        <f t="shared" si="10"/>
        <v>13748388</v>
      </c>
    </row>
    <row r="60" spans="1:10" x14ac:dyDescent="0.25">
      <c r="A60" s="125" t="s">
        <v>158</v>
      </c>
    </row>
  </sheetData>
  <sheetProtection selectLockedCells="1" selectUnlockedCells="1"/>
  <mergeCells count="3">
    <mergeCell ref="A2:J2"/>
    <mergeCell ref="A25:J25"/>
    <mergeCell ref="A46:J46"/>
  </mergeCells>
  <phoneticPr fontId="20" type="noConversion"/>
  <printOptions horizontalCentered="1" verticalCentered="1"/>
  <pageMargins left="0.15748031496062992" right="0.15748031496062992" top="0.59055118110236227" bottom="0.59055118110236227" header="0.31496062992125984" footer="0.51181102362204722"/>
  <pageSetup paperSize="9" scale="85" firstPageNumber="0" orientation="landscape" r:id="rId1"/>
  <headerFooter alignWithMargins="0">
    <oddHeader>&amp;C6. melléklet a ….../2017. (…...) önkormányzati rendelet tervezethez
Az önkormányzat 2017. évi költségvetéséről szóló 2/2017. (II.17.) önkormányzati rendelet 6. mellékletének helyébe a következő 6. melléklet lép: &amp;R
&amp;P. oldal
 forint</oddHeader>
  </headerFooter>
  <rowBreaks count="3" manualBreakCount="3">
    <brk id="23" max="7" man="1"/>
    <brk id="45" max="7" man="1"/>
    <brk id="6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84"/>
  <sheetViews>
    <sheetView view="pageLayout" topLeftCell="A73" zoomScaleNormal="100" zoomScaleSheetLayoutView="89" workbookViewId="0">
      <selection activeCell="L62" sqref="L62"/>
    </sheetView>
  </sheetViews>
  <sheetFormatPr defaultColWidth="9.140625" defaultRowHeight="15.75" x14ac:dyDescent="0.25"/>
  <cols>
    <col min="1" max="1" width="43.28515625" style="144" customWidth="1"/>
    <col min="2" max="2" width="12.140625" style="145" customWidth="1"/>
    <col min="3" max="3" width="11.28515625" style="145" bestFit="1" customWidth="1"/>
    <col min="4" max="4" width="12.28515625" style="145" customWidth="1"/>
    <col min="5" max="5" width="11.140625" style="145" bestFit="1" customWidth="1"/>
    <col min="6" max="6" width="43.5703125" style="145" customWidth="1"/>
    <col min="7" max="7" width="13.7109375" style="145" customWidth="1"/>
    <col min="8" max="8" width="11.28515625" style="145" bestFit="1" customWidth="1"/>
    <col min="9" max="9" width="12.5703125" style="145" customWidth="1"/>
    <col min="10" max="10" width="11" style="145" customWidth="1"/>
    <col min="11" max="11" width="11" style="145" bestFit="1" customWidth="1"/>
    <col min="12" max="16384" width="9.140625" style="145"/>
  </cols>
  <sheetData>
    <row r="1" spans="1:10" ht="15.75" customHeight="1" thickBot="1" x14ac:dyDescent="0.3">
      <c r="A1" s="324" t="s">
        <v>357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s="144" customFormat="1" ht="31.5" x14ac:dyDescent="0.25">
      <c r="A2" s="146" t="s">
        <v>100</v>
      </c>
      <c r="B2" s="40" t="s">
        <v>329</v>
      </c>
      <c r="C2" s="55" t="s">
        <v>361</v>
      </c>
      <c r="D2" s="55" t="s">
        <v>362</v>
      </c>
      <c r="E2" s="55" t="s">
        <v>327</v>
      </c>
      <c r="F2" s="147" t="s">
        <v>101</v>
      </c>
      <c r="G2" s="40" t="s">
        <v>329</v>
      </c>
      <c r="H2" s="55" t="s">
        <v>361</v>
      </c>
      <c r="I2" s="55" t="s">
        <v>362</v>
      </c>
      <c r="J2" s="280" t="s">
        <v>327</v>
      </c>
    </row>
    <row r="3" spans="1:10" s="144" customFormat="1" x14ac:dyDescent="0.25">
      <c r="A3" s="148" t="s">
        <v>159</v>
      </c>
      <c r="B3" s="149"/>
      <c r="C3" s="149"/>
      <c r="D3" s="149"/>
      <c r="E3" s="149"/>
      <c r="F3" s="150" t="s">
        <v>15</v>
      </c>
      <c r="G3" s="162"/>
      <c r="H3" s="162"/>
      <c r="I3" s="162"/>
      <c r="J3" s="151"/>
    </row>
    <row r="4" spans="1:10" ht="31.5" x14ac:dyDescent="0.25">
      <c r="A4" s="152" t="s">
        <v>160</v>
      </c>
      <c r="B4" s="153">
        <f>'6. sz. tábla '!B5</f>
        <v>25513930</v>
      </c>
      <c r="C4" s="153">
        <f>'6. sz. tábla '!C5</f>
        <v>27233822</v>
      </c>
      <c r="D4" s="153">
        <f>'6. sz. tábla '!D5</f>
        <v>30786309</v>
      </c>
      <c r="E4" s="153">
        <f>D4-C4</f>
        <v>3552487</v>
      </c>
      <c r="F4" s="154" t="s">
        <v>90</v>
      </c>
      <c r="G4" s="153">
        <f>'6. sz. tábla '!G5</f>
        <v>9751000</v>
      </c>
      <c r="H4" s="153">
        <f>'6. sz. tábla '!H5</f>
        <v>11277940</v>
      </c>
      <c r="I4" s="153">
        <f>'6. sz. tábla '!I5</f>
        <v>11685590</v>
      </c>
      <c r="J4" s="155">
        <f>I4-H4</f>
        <v>407650</v>
      </c>
    </row>
    <row r="5" spans="1:10" ht="17.25" customHeight="1" x14ac:dyDescent="0.25">
      <c r="A5" s="156" t="s">
        <v>103</v>
      </c>
      <c r="B5" s="102">
        <f>'6. sz. tábla '!B6</f>
        <v>11333000</v>
      </c>
      <c r="C5" s="102">
        <f>'6. sz. tábla '!C6</f>
        <v>11333000</v>
      </c>
      <c r="D5" s="102">
        <f>'6. sz. tábla '!D6</f>
        <v>11333000</v>
      </c>
      <c r="E5" s="153">
        <f t="shared" ref="E5:E27" si="0">D5-C5</f>
        <v>0</v>
      </c>
      <c r="F5" s="154" t="s">
        <v>87</v>
      </c>
      <c r="G5" s="153">
        <f>'6. sz. tábla '!G6</f>
        <v>2092100</v>
      </c>
      <c r="H5" s="153">
        <f>'6. sz. tábla '!H6</f>
        <v>2253529</v>
      </c>
      <c r="I5" s="153">
        <f>'6. sz. tábla '!I6</f>
        <v>2298370</v>
      </c>
      <c r="J5" s="155">
        <f t="shared" ref="J5:J27" si="1">I5-H5</f>
        <v>44841</v>
      </c>
    </row>
    <row r="6" spans="1:10" x14ac:dyDescent="0.25">
      <c r="A6" s="156" t="s">
        <v>104</v>
      </c>
      <c r="B6" s="153">
        <f>'6. sz. tábla '!B7-B34</f>
        <v>3135070</v>
      </c>
      <c r="C6" s="153">
        <f>'6. sz. tábla '!C7-C34</f>
        <v>3135070</v>
      </c>
      <c r="D6" s="153">
        <f>'6. sz. tábla '!D7-D34</f>
        <v>3135070</v>
      </c>
      <c r="E6" s="153">
        <f t="shared" si="0"/>
        <v>0</v>
      </c>
      <c r="F6" s="154" t="s">
        <v>88</v>
      </c>
      <c r="G6" s="153">
        <f>'6. sz. tábla '!G7-G34</f>
        <v>12859500</v>
      </c>
      <c r="H6" s="153">
        <f>'6. sz. tábla '!H7-H34</f>
        <v>13259500</v>
      </c>
      <c r="I6" s="153">
        <f>'6. sz. tábla '!I7-I34</f>
        <v>13521700</v>
      </c>
      <c r="J6" s="155">
        <f t="shared" si="1"/>
        <v>262200</v>
      </c>
    </row>
    <row r="7" spans="1:10" x14ac:dyDescent="0.25">
      <c r="A7" s="128" t="s">
        <v>346</v>
      </c>
      <c r="B7" s="153">
        <f>'6. sz. tábla '!B8</f>
        <v>0</v>
      </c>
      <c r="C7" s="153">
        <f>'6. sz. tábla '!C8</f>
        <v>0</v>
      </c>
      <c r="D7" s="153">
        <f>'6. sz. tábla '!D8</f>
        <v>0</v>
      </c>
      <c r="E7" s="153">
        <f t="shared" si="0"/>
        <v>0</v>
      </c>
      <c r="F7" s="154" t="s">
        <v>91</v>
      </c>
      <c r="G7" s="153">
        <f>'6. sz. tábla '!G8</f>
        <v>1810000</v>
      </c>
      <c r="H7" s="153">
        <f>'6. sz. tábla '!H8</f>
        <v>1810000</v>
      </c>
      <c r="I7" s="153">
        <f>'6. sz. tábla '!I8</f>
        <v>1810000</v>
      </c>
      <c r="J7" s="155">
        <f t="shared" si="1"/>
        <v>0</v>
      </c>
    </row>
    <row r="8" spans="1:10" x14ac:dyDescent="0.25">
      <c r="A8" s="156"/>
      <c r="B8" s="153"/>
      <c r="C8" s="153"/>
      <c r="D8" s="153"/>
      <c r="E8" s="153">
        <f t="shared" si="0"/>
        <v>0</v>
      </c>
      <c r="F8" s="154" t="s">
        <v>89</v>
      </c>
      <c r="G8" s="153">
        <f t="shared" ref="G8:I8" si="2">G10+G11+G12</f>
        <v>11209000</v>
      </c>
      <c r="H8" s="153">
        <f t="shared" si="2"/>
        <v>11483997</v>
      </c>
      <c r="I8" s="153">
        <f t="shared" si="2"/>
        <v>11023780</v>
      </c>
      <c r="J8" s="155">
        <f t="shared" si="1"/>
        <v>-460217</v>
      </c>
    </row>
    <row r="9" spans="1:10" x14ac:dyDescent="0.25">
      <c r="A9" s="156"/>
      <c r="B9" s="153"/>
      <c r="C9" s="153"/>
      <c r="D9" s="153"/>
      <c r="E9" s="153">
        <f t="shared" si="0"/>
        <v>0</v>
      </c>
      <c r="F9" s="129" t="s">
        <v>227</v>
      </c>
      <c r="G9" s="153">
        <f>'6. sz. tábla '!G10</f>
        <v>0</v>
      </c>
      <c r="H9" s="153">
        <f>'6. sz. tábla '!H10</f>
        <v>0</v>
      </c>
      <c r="I9" s="153">
        <f>'6. sz. tábla '!I10</f>
        <v>0</v>
      </c>
      <c r="J9" s="155">
        <f t="shared" si="1"/>
        <v>0</v>
      </c>
    </row>
    <row r="10" spans="1:10" ht="31.5" x14ac:dyDescent="0.25">
      <c r="A10" s="156"/>
      <c r="B10" s="153"/>
      <c r="C10" s="153"/>
      <c r="D10" s="153"/>
      <c r="E10" s="153">
        <f t="shared" si="0"/>
        <v>0</v>
      </c>
      <c r="F10" s="129" t="s">
        <v>228</v>
      </c>
      <c r="G10" s="153">
        <f>'6. sz. tábla '!G11</f>
        <v>11209000</v>
      </c>
      <c r="H10" s="153">
        <f>'6. sz. tábla '!H11</f>
        <v>11483997</v>
      </c>
      <c r="I10" s="153">
        <f>'6. sz. tábla '!I11</f>
        <v>10706380</v>
      </c>
      <c r="J10" s="155">
        <f t="shared" si="1"/>
        <v>-777617</v>
      </c>
    </row>
    <row r="11" spans="1:10" ht="31.5" x14ac:dyDescent="0.25">
      <c r="A11" s="152"/>
      <c r="B11" s="157"/>
      <c r="C11" s="157"/>
      <c r="D11" s="157"/>
      <c r="E11" s="153">
        <f t="shared" si="0"/>
        <v>0</v>
      </c>
      <c r="F11" s="129" t="s">
        <v>229</v>
      </c>
      <c r="G11" s="153">
        <f>'6. sz. tábla '!G12-G40</f>
        <v>0</v>
      </c>
      <c r="H11" s="153">
        <f>'6. sz. tábla '!H12-H40</f>
        <v>0</v>
      </c>
      <c r="I11" s="153">
        <f>'6. sz. tábla '!I12-I40</f>
        <v>317400</v>
      </c>
      <c r="J11" s="155">
        <f t="shared" si="1"/>
        <v>317400</v>
      </c>
    </row>
    <row r="12" spans="1:10" ht="30.75" customHeight="1" x14ac:dyDescent="0.25">
      <c r="A12" s="128"/>
      <c r="B12" s="153"/>
      <c r="C12" s="153"/>
      <c r="D12" s="153"/>
      <c r="E12" s="153">
        <f t="shared" si="0"/>
        <v>0</v>
      </c>
      <c r="F12" s="129" t="s">
        <v>230</v>
      </c>
      <c r="G12" s="153">
        <f>'6. sz. tábla '!G13</f>
        <v>0</v>
      </c>
      <c r="H12" s="153">
        <f>'6. sz. tábla '!H13</f>
        <v>0</v>
      </c>
      <c r="I12" s="153">
        <f>'6. sz. tábla '!I13</f>
        <v>0</v>
      </c>
      <c r="J12" s="155">
        <f t="shared" si="1"/>
        <v>0</v>
      </c>
    </row>
    <row r="13" spans="1:10" x14ac:dyDescent="0.25">
      <c r="A13" s="156"/>
      <c r="B13" s="153"/>
      <c r="C13" s="153"/>
      <c r="D13" s="153"/>
      <c r="E13" s="153">
        <f t="shared" si="0"/>
        <v>0</v>
      </c>
      <c r="F13" s="129" t="s">
        <v>222</v>
      </c>
      <c r="G13" s="153">
        <f>'6. sz. tábla '!G14</f>
        <v>17786400</v>
      </c>
      <c r="H13" s="153">
        <f>'6. sz. tábla '!H14</f>
        <v>15209209</v>
      </c>
      <c r="I13" s="153">
        <f>'6. sz. tábla '!I14</f>
        <v>15425222</v>
      </c>
      <c r="J13" s="155">
        <f t="shared" si="1"/>
        <v>216013</v>
      </c>
    </row>
    <row r="14" spans="1:10" s="160" customFormat="1" ht="31.5" x14ac:dyDescent="0.25">
      <c r="A14" s="148" t="s">
        <v>161</v>
      </c>
      <c r="B14" s="158">
        <f t="shared" ref="B14:D14" si="3">SUM(B4:B13)</f>
        <v>39982000</v>
      </c>
      <c r="C14" s="158">
        <f t="shared" si="3"/>
        <v>41701892</v>
      </c>
      <c r="D14" s="158">
        <f t="shared" si="3"/>
        <v>45254379</v>
      </c>
      <c r="E14" s="158">
        <f t="shared" si="0"/>
        <v>3552487</v>
      </c>
      <c r="F14" s="150" t="s">
        <v>162</v>
      </c>
      <c r="G14" s="158">
        <f t="shared" ref="G14:I14" si="4">G4+G5+G6+G7+G8+G13</f>
        <v>55508000</v>
      </c>
      <c r="H14" s="158">
        <f t="shared" si="4"/>
        <v>55294175</v>
      </c>
      <c r="I14" s="158">
        <f t="shared" si="4"/>
        <v>55764662</v>
      </c>
      <c r="J14" s="159">
        <f t="shared" si="1"/>
        <v>470487</v>
      </c>
    </row>
    <row r="15" spans="1:10" x14ac:dyDescent="0.25">
      <c r="A15" s="161" t="s">
        <v>163</v>
      </c>
      <c r="B15" s="153">
        <f>'6. sz. tábla '!B53</f>
        <v>33500000</v>
      </c>
      <c r="C15" s="153">
        <f>'6. sz. tábla '!C53</f>
        <v>34311569</v>
      </c>
      <c r="D15" s="153">
        <f>'6. sz. tábla '!D53</f>
        <v>34311569</v>
      </c>
      <c r="E15" s="153">
        <f t="shared" si="0"/>
        <v>0</v>
      </c>
      <c r="F15" s="162" t="s">
        <v>164</v>
      </c>
      <c r="G15" s="153">
        <f>'6. sz. tábla '!G17-G55</f>
        <v>1318000</v>
      </c>
      <c r="H15" s="153">
        <f>'6. sz. tábla '!H17-H55</f>
        <v>1885864</v>
      </c>
      <c r="I15" s="153">
        <f>'6. sz. tábla '!I17-I55</f>
        <v>2067274</v>
      </c>
      <c r="J15" s="155">
        <f t="shared" si="1"/>
        <v>181410</v>
      </c>
    </row>
    <row r="16" spans="1:10" ht="47.25" x14ac:dyDescent="0.25">
      <c r="A16" s="148" t="s">
        <v>165</v>
      </c>
      <c r="B16" s="158">
        <f>B14+B15</f>
        <v>73482000</v>
      </c>
      <c r="C16" s="158">
        <f>C14+C15</f>
        <v>76013461</v>
      </c>
      <c r="D16" s="158">
        <f>D14+D15</f>
        <v>79565948</v>
      </c>
      <c r="E16" s="158">
        <f t="shared" si="0"/>
        <v>3552487</v>
      </c>
      <c r="F16" s="150" t="s">
        <v>166</v>
      </c>
      <c r="G16" s="158">
        <f t="shared" ref="G16:I16" si="5">G14+G15</f>
        <v>56826000</v>
      </c>
      <c r="H16" s="158">
        <f t="shared" si="5"/>
        <v>57180039</v>
      </c>
      <c r="I16" s="158">
        <f t="shared" si="5"/>
        <v>57831936</v>
      </c>
      <c r="J16" s="159">
        <f t="shared" si="1"/>
        <v>651897</v>
      </c>
    </row>
    <row r="17" spans="1:10" x14ac:dyDescent="0.25">
      <c r="A17" s="148" t="s">
        <v>167</v>
      </c>
      <c r="B17" s="158"/>
      <c r="C17" s="158"/>
      <c r="D17" s="158"/>
      <c r="E17" s="153">
        <f t="shared" si="0"/>
        <v>0</v>
      </c>
      <c r="F17" s="158" t="s">
        <v>16</v>
      </c>
      <c r="G17" s="153"/>
      <c r="H17" s="153"/>
      <c r="I17" s="153"/>
      <c r="J17" s="155">
        <f t="shared" si="1"/>
        <v>0</v>
      </c>
    </row>
    <row r="18" spans="1:10" x14ac:dyDescent="0.25">
      <c r="A18" s="128" t="s">
        <v>343</v>
      </c>
      <c r="B18" s="153">
        <f>'1.sz.tábla '!B6</f>
        <v>0</v>
      </c>
      <c r="C18" s="153">
        <f>'1.sz.tábla '!C6</f>
        <v>18000000</v>
      </c>
      <c r="D18" s="153">
        <f>'1.sz.tábla '!D6</f>
        <v>28014491</v>
      </c>
      <c r="E18" s="153">
        <f t="shared" si="0"/>
        <v>10014491</v>
      </c>
      <c r="F18" s="154" t="s">
        <v>120</v>
      </c>
      <c r="G18" s="153">
        <f>'6. sz. tábla '!G28-G46</f>
        <v>4331000</v>
      </c>
      <c r="H18" s="153">
        <f>'6. sz. tábla '!H28-H46</f>
        <v>9531000</v>
      </c>
      <c r="I18" s="153">
        <f>'6. sz. tábla '!I28-I46</f>
        <v>13663000</v>
      </c>
      <c r="J18" s="155">
        <f t="shared" si="1"/>
        <v>4132000</v>
      </c>
    </row>
    <row r="19" spans="1:10" x14ac:dyDescent="0.25">
      <c r="A19" s="131" t="s">
        <v>168</v>
      </c>
      <c r="B19" s="153">
        <f>'6. sz. tábla '!B29-B47</f>
        <v>0</v>
      </c>
      <c r="C19" s="153">
        <f>'6. sz. tábla '!C29-C47</f>
        <v>0</v>
      </c>
      <c r="D19" s="153">
        <f>'6. sz. tábla '!D29-D47</f>
        <v>0</v>
      </c>
      <c r="E19" s="153">
        <f t="shared" si="0"/>
        <v>0</v>
      </c>
      <c r="F19" s="154" t="s">
        <v>122</v>
      </c>
      <c r="G19" s="153"/>
      <c r="H19" s="153"/>
      <c r="I19" s="153"/>
      <c r="J19" s="155">
        <f t="shared" si="1"/>
        <v>0</v>
      </c>
    </row>
    <row r="20" spans="1:10" x14ac:dyDescent="0.25">
      <c r="A20" s="131" t="s">
        <v>344</v>
      </c>
      <c r="B20" s="153">
        <f>'6. sz. tábla '!B30-B48</f>
        <v>0</v>
      </c>
      <c r="C20" s="153">
        <f>'6. sz. tábla '!C30-C48</f>
        <v>0</v>
      </c>
      <c r="D20" s="153">
        <f>'6. sz. tábla '!D30-D48</f>
        <v>0</v>
      </c>
      <c r="E20" s="153">
        <f t="shared" si="0"/>
        <v>0</v>
      </c>
      <c r="F20" s="154" t="s">
        <v>124</v>
      </c>
      <c r="G20" s="153">
        <f>'6. sz. tábla '!G30</f>
        <v>11615000</v>
      </c>
      <c r="H20" s="153">
        <f>'6. sz. tábla '!H30</f>
        <v>26922636</v>
      </c>
      <c r="I20" s="153">
        <f>'6. sz. tábla '!I30</f>
        <v>35887127</v>
      </c>
      <c r="J20" s="155">
        <f t="shared" si="1"/>
        <v>8964491</v>
      </c>
    </row>
    <row r="21" spans="1:10" x14ac:dyDescent="0.25">
      <c r="A21" s="156"/>
      <c r="B21" s="153"/>
      <c r="C21" s="153"/>
      <c r="D21" s="153"/>
      <c r="E21" s="153">
        <f t="shared" si="0"/>
        <v>0</v>
      </c>
      <c r="F21" s="154" t="s">
        <v>170</v>
      </c>
      <c r="G21" s="153">
        <f>'6. sz. tábla '!G31</f>
        <v>0</v>
      </c>
      <c r="H21" s="153">
        <f>'6. sz. tábla '!H31</f>
        <v>31650</v>
      </c>
      <c r="I21" s="153">
        <f>'6. sz. tábla '!I31</f>
        <v>31650</v>
      </c>
      <c r="J21" s="155">
        <f t="shared" si="1"/>
        <v>0</v>
      </c>
    </row>
    <row r="22" spans="1:10" ht="31.5" x14ac:dyDescent="0.25">
      <c r="A22" s="156"/>
      <c r="B22" s="153"/>
      <c r="C22" s="153"/>
      <c r="D22" s="153"/>
      <c r="E22" s="153">
        <f t="shared" si="0"/>
        <v>0</v>
      </c>
      <c r="F22" s="154" t="s">
        <v>345</v>
      </c>
      <c r="G22" s="153"/>
      <c r="H22" s="153"/>
      <c r="I22" s="153"/>
      <c r="J22" s="155">
        <f t="shared" si="1"/>
        <v>0</v>
      </c>
    </row>
    <row r="23" spans="1:10" ht="31.5" x14ac:dyDescent="0.25">
      <c r="A23" s="156"/>
      <c r="B23" s="153"/>
      <c r="C23" s="153"/>
      <c r="D23" s="153"/>
      <c r="E23" s="153">
        <f t="shared" si="0"/>
        <v>0</v>
      </c>
      <c r="F23" s="163" t="s">
        <v>172</v>
      </c>
      <c r="G23" s="153"/>
      <c r="H23" s="153"/>
      <c r="I23" s="153"/>
      <c r="J23" s="155">
        <f t="shared" si="1"/>
        <v>0</v>
      </c>
    </row>
    <row r="24" spans="1:10" ht="30.75" customHeight="1" x14ac:dyDescent="0.25">
      <c r="A24" s="161"/>
      <c r="B24" s="153"/>
      <c r="C24" s="153"/>
      <c r="D24" s="153"/>
      <c r="E24" s="153">
        <f t="shared" si="0"/>
        <v>0</v>
      </c>
      <c r="F24" s="154" t="s">
        <v>173</v>
      </c>
      <c r="G24" s="153"/>
      <c r="H24" s="153"/>
      <c r="I24" s="153"/>
      <c r="J24" s="155">
        <f t="shared" si="1"/>
        <v>0</v>
      </c>
    </row>
    <row r="25" spans="1:10" s="160" customFormat="1" ht="31.5" x14ac:dyDescent="0.25">
      <c r="A25" s="148" t="s">
        <v>174</v>
      </c>
      <c r="B25" s="158">
        <f>SUM(B18:B24)</f>
        <v>0</v>
      </c>
      <c r="C25" s="158">
        <f>SUM(C18:C24)</f>
        <v>18000000</v>
      </c>
      <c r="D25" s="158">
        <f>SUM(D18:D24)</f>
        <v>28014491</v>
      </c>
      <c r="E25" s="158">
        <f t="shared" si="0"/>
        <v>10014491</v>
      </c>
      <c r="F25" s="150" t="s">
        <v>162</v>
      </c>
      <c r="G25" s="158">
        <f>SUM(G18:G24)</f>
        <v>15946000</v>
      </c>
      <c r="H25" s="158">
        <f>SUM(H18:H24)</f>
        <v>36485286</v>
      </c>
      <c r="I25" s="158">
        <f>SUM(I18:I24)</f>
        <v>49581777</v>
      </c>
      <c r="J25" s="159">
        <f t="shared" si="1"/>
        <v>13096491</v>
      </c>
    </row>
    <row r="26" spans="1:10" ht="15" customHeight="1" x14ac:dyDescent="0.25">
      <c r="A26" s="161" t="s">
        <v>163</v>
      </c>
      <c r="B26" s="153">
        <f>'6. sz. tábla '!B19-B55</f>
        <v>330000</v>
      </c>
      <c r="C26" s="153">
        <f>'6. sz. tábla '!C19-C55</f>
        <v>897864</v>
      </c>
      <c r="D26" s="153">
        <f>'6. sz. tábla '!D19-D55</f>
        <v>1079274</v>
      </c>
      <c r="E26" s="153">
        <f t="shared" si="0"/>
        <v>181410</v>
      </c>
      <c r="F26" s="162" t="s">
        <v>164</v>
      </c>
      <c r="G26" s="153">
        <f>'6. sz. tábla '!G38</f>
        <v>0</v>
      </c>
      <c r="H26" s="153">
        <f>'6. sz. tábla '!H38</f>
        <v>0</v>
      </c>
      <c r="I26" s="153">
        <f>'6. sz. tábla '!I38</f>
        <v>0</v>
      </c>
      <c r="J26" s="155">
        <f t="shared" si="1"/>
        <v>0</v>
      </c>
    </row>
    <row r="27" spans="1:10" ht="48" thickBot="1" x14ac:dyDescent="0.3">
      <c r="A27" s="164" t="s">
        <v>175</v>
      </c>
      <c r="B27" s="165">
        <f>B25+B26</f>
        <v>330000</v>
      </c>
      <c r="C27" s="165">
        <f>C25+C26</f>
        <v>18897864</v>
      </c>
      <c r="D27" s="165">
        <f>D25+D26</f>
        <v>29093765</v>
      </c>
      <c r="E27" s="165">
        <f t="shared" si="0"/>
        <v>10195901</v>
      </c>
      <c r="F27" s="166" t="s">
        <v>176</v>
      </c>
      <c r="G27" s="165">
        <f>G25+G26</f>
        <v>15946000</v>
      </c>
      <c r="H27" s="165">
        <f>H25+H26</f>
        <v>36485286</v>
      </c>
      <c r="I27" s="165">
        <f>I25+I26</f>
        <v>49581777</v>
      </c>
      <c r="J27" s="274">
        <f t="shared" si="1"/>
        <v>13096491</v>
      </c>
    </row>
    <row r="28" spans="1:10" x14ac:dyDescent="0.25">
      <c r="B28" s="145">
        <f>B27+B16</f>
        <v>73812000</v>
      </c>
      <c r="C28" s="145">
        <f>C27+C16</f>
        <v>94911325</v>
      </c>
      <c r="D28" s="145">
        <f>D27+D16</f>
        <v>108659713</v>
      </c>
      <c r="E28" s="145">
        <f>E27+E16</f>
        <v>13748388</v>
      </c>
      <c r="G28" s="145">
        <f>G27+G16</f>
        <v>72772000</v>
      </c>
      <c r="H28" s="145">
        <f>H27+H16</f>
        <v>93665325</v>
      </c>
      <c r="I28" s="145">
        <f>I27+I16</f>
        <v>107413713</v>
      </c>
      <c r="J28" s="273">
        <f t="shared" ref="J28" si="6">H28-G28</f>
        <v>20893325</v>
      </c>
    </row>
    <row r="29" spans="1:10" ht="15.75" customHeight="1" thickBot="1" x14ac:dyDescent="0.3">
      <c r="A29" s="324" t="s">
        <v>358</v>
      </c>
      <c r="B29" s="324"/>
      <c r="C29" s="324"/>
      <c r="D29" s="324"/>
      <c r="E29" s="324"/>
      <c r="F29" s="324"/>
      <c r="G29" s="324"/>
      <c r="H29" s="324"/>
      <c r="I29" s="324"/>
      <c r="J29" s="324"/>
    </row>
    <row r="30" spans="1:10" s="144" customFormat="1" ht="31.5" x14ac:dyDescent="0.25">
      <c r="A30" s="146" t="s">
        <v>100</v>
      </c>
      <c r="B30" s="40" t="s">
        <v>329</v>
      </c>
      <c r="C30" s="55" t="s">
        <v>361</v>
      </c>
      <c r="D30" s="55" t="s">
        <v>362</v>
      </c>
      <c r="E30" s="55" t="s">
        <v>327</v>
      </c>
      <c r="F30" s="147" t="s">
        <v>101</v>
      </c>
      <c r="G30" s="40" t="s">
        <v>329</v>
      </c>
      <c r="H30" s="55" t="s">
        <v>361</v>
      </c>
      <c r="I30" s="55" t="s">
        <v>362</v>
      </c>
      <c r="J30" s="280" t="s">
        <v>327</v>
      </c>
    </row>
    <row r="31" spans="1:10" x14ac:dyDescent="0.25">
      <c r="A31" s="148" t="s">
        <v>159</v>
      </c>
      <c r="B31" s="149"/>
      <c r="C31" s="149"/>
      <c r="D31" s="149"/>
      <c r="E31" s="149"/>
      <c r="F31" s="150" t="s">
        <v>15</v>
      </c>
      <c r="G31" s="153"/>
      <c r="H31" s="153"/>
      <c r="I31" s="153"/>
      <c r="J31" s="155"/>
    </row>
    <row r="32" spans="1:10" ht="31.5" x14ac:dyDescent="0.25">
      <c r="A32" s="152" t="s">
        <v>160</v>
      </c>
      <c r="B32" s="153"/>
      <c r="C32" s="153"/>
      <c r="D32" s="153"/>
      <c r="E32" s="153"/>
      <c r="F32" s="154" t="s">
        <v>90</v>
      </c>
      <c r="G32" s="153"/>
      <c r="H32" s="153"/>
      <c r="I32" s="153"/>
      <c r="J32" s="155"/>
    </row>
    <row r="33" spans="1:10" x14ac:dyDescent="0.25">
      <c r="A33" s="156" t="s">
        <v>103</v>
      </c>
      <c r="B33" s="153"/>
      <c r="C33" s="153"/>
      <c r="D33" s="153"/>
      <c r="E33" s="153"/>
      <c r="F33" s="154" t="s">
        <v>87</v>
      </c>
      <c r="G33" s="153"/>
      <c r="H33" s="153"/>
      <c r="I33" s="153"/>
      <c r="J33" s="155"/>
    </row>
    <row r="34" spans="1:10" x14ac:dyDescent="0.25">
      <c r="A34" s="156" t="s">
        <v>104</v>
      </c>
      <c r="B34" s="153">
        <f>'2.sz.tábla'!B44</f>
        <v>0</v>
      </c>
      <c r="C34" s="153"/>
      <c r="D34" s="153"/>
      <c r="E34" s="153"/>
      <c r="F34" s="154" t="s">
        <v>88</v>
      </c>
      <c r="G34" s="153"/>
      <c r="H34" s="153"/>
      <c r="I34" s="153"/>
      <c r="J34" s="155"/>
    </row>
    <row r="35" spans="1:10" ht="31.5" x14ac:dyDescent="0.25">
      <c r="A35" s="128" t="s">
        <v>106</v>
      </c>
      <c r="B35" s="153"/>
      <c r="C35" s="153"/>
      <c r="D35" s="153"/>
      <c r="E35" s="153"/>
      <c r="F35" s="154" t="s">
        <v>91</v>
      </c>
      <c r="G35" s="153"/>
      <c r="H35" s="153"/>
      <c r="I35" s="153"/>
      <c r="J35" s="155"/>
    </row>
    <row r="36" spans="1:10" x14ac:dyDescent="0.25">
      <c r="A36" s="156"/>
      <c r="B36" s="153"/>
      <c r="C36" s="153"/>
      <c r="D36" s="153"/>
      <c r="E36" s="153"/>
      <c r="F36" s="154" t="s">
        <v>89</v>
      </c>
      <c r="G36" s="153"/>
      <c r="H36" s="153"/>
      <c r="I36" s="153"/>
      <c r="J36" s="155"/>
    </row>
    <row r="37" spans="1:10" x14ac:dyDescent="0.25">
      <c r="A37" s="156"/>
      <c r="B37" s="153"/>
      <c r="C37" s="153"/>
      <c r="D37" s="153"/>
      <c r="E37" s="153"/>
      <c r="F37" s="129" t="s">
        <v>227</v>
      </c>
      <c r="G37" s="153"/>
      <c r="H37" s="153"/>
      <c r="I37" s="153"/>
      <c r="J37" s="155"/>
    </row>
    <row r="38" spans="1:10" x14ac:dyDescent="0.25">
      <c r="A38" s="156"/>
      <c r="B38" s="153"/>
      <c r="C38" s="153"/>
      <c r="D38" s="153"/>
      <c r="E38" s="153"/>
      <c r="F38" s="129" t="s">
        <v>340</v>
      </c>
      <c r="G38" s="153"/>
      <c r="H38" s="153"/>
      <c r="I38" s="153"/>
      <c r="J38" s="155"/>
    </row>
    <row r="39" spans="1:10" x14ac:dyDescent="0.25">
      <c r="A39" s="152"/>
      <c r="B39" s="157"/>
      <c r="C39" s="157"/>
      <c r="D39" s="157"/>
      <c r="E39" s="157"/>
      <c r="F39" s="129" t="s">
        <v>341</v>
      </c>
      <c r="G39" s="153"/>
      <c r="H39" s="153"/>
      <c r="I39" s="153"/>
      <c r="J39" s="155"/>
    </row>
    <row r="40" spans="1:10" ht="30" customHeight="1" x14ac:dyDescent="0.25">
      <c r="A40" s="128"/>
      <c r="B40" s="153"/>
      <c r="C40" s="153"/>
      <c r="D40" s="153"/>
      <c r="E40" s="153"/>
      <c r="F40" s="129" t="s">
        <v>230</v>
      </c>
      <c r="G40" s="153">
        <f>'4.sz.tábla'!B9</f>
        <v>1040000</v>
      </c>
      <c r="H40" s="153">
        <v>1246000</v>
      </c>
      <c r="I40" s="153">
        <v>1246000</v>
      </c>
      <c r="J40" s="155">
        <f>I40-H40</f>
        <v>0</v>
      </c>
    </row>
    <row r="41" spans="1:10" x14ac:dyDescent="0.25">
      <c r="A41" s="156"/>
      <c r="B41" s="153"/>
      <c r="C41" s="153"/>
      <c r="D41" s="153"/>
      <c r="E41" s="153"/>
      <c r="F41" s="129" t="s">
        <v>222</v>
      </c>
      <c r="G41" s="153"/>
      <c r="H41" s="153"/>
      <c r="I41" s="153"/>
      <c r="J41" s="155">
        <f t="shared" ref="J41:J55" si="7">I41-H41</f>
        <v>0</v>
      </c>
    </row>
    <row r="42" spans="1:10" ht="31.5" x14ac:dyDescent="0.25">
      <c r="A42" s="148" t="s">
        <v>177</v>
      </c>
      <c r="B42" s="158">
        <f>SUM(B32:B41)</f>
        <v>0</v>
      </c>
      <c r="C42" s="158"/>
      <c r="D42" s="158"/>
      <c r="E42" s="158"/>
      <c r="F42" s="150" t="s">
        <v>178</v>
      </c>
      <c r="G42" s="158">
        <f>SUM(G32:G41)</f>
        <v>1040000</v>
      </c>
      <c r="H42" s="158">
        <f>SUM(H32:H41)</f>
        <v>1246000</v>
      </c>
      <c r="I42" s="158">
        <f>SUM(I32:I41)</f>
        <v>1246000</v>
      </c>
      <c r="J42" s="159">
        <f t="shared" si="7"/>
        <v>0</v>
      </c>
    </row>
    <row r="43" spans="1:10" x14ac:dyDescent="0.25">
      <c r="A43" s="161" t="s">
        <v>163</v>
      </c>
      <c r="B43" s="153"/>
      <c r="C43" s="153"/>
      <c r="D43" s="153"/>
      <c r="E43" s="153"/>
      <c r="F43" s="162" t="s">
        <v>164</v>
      </c>
      <c r="G43" s="153"/>
      <c r="H43" s="153"/>
      <c r="I43" s="153"/>
      <c r="J43" s="155">
        <f t="shared" si="7"/>
        <v>0</v>
      </c>
    </row>
    <row r="44" spans="1:10" ht="47.25" x14ac:dyDescent="0.25">
      <c r="A44" s="148" t="s">
        <v>179</v>
      </c>
      <c r="B44" s="158">
        <f>B42+B43</f>
        <v>0</v>
      </c>
      <c r="C44" s="158"/>
      <c r="D44" s="158"/>
      <c r="E44" s="158"/>
      <c r="F44" s="150" t="s">
        <v>180</v>
      </c>
      <c r="G44" s="158">
        <f>G42+G43</f>
        <v>1040000</v>
      </c>
      <c r="H44" s="158">
        <f>H42+H43</f>
        <v>1246000</v>
      </c>
      <c r="I44" s="158">
        <f>I42+I43</f>
        <v>1246000</v>
      </c>
      <c r="J44" s="159">
        <f t="shared" si="7"/>
        <v>0</v>
      </c>
    </row>
    <row r="45" spans="1:10" x14ac:dyDescent="0.25">
      <c r="A45" s="148" t="s">
        <v>167</v>
      </c>
      <c r="B45" s="158"/>
      <c r="C45" s="158"/>
      <c r="D45" s="158"/>
      <c r="E45" s="158"/>
      <c r="F45" s="158" t="s">
        <v>16</v>
      </c>
      <c r="G45" s="153"/>
      <c r="H45" s="153"/>
      <c r="I45" s="153"/>
      <c r="J45" s="155">
        <f t="shared" si="7"/>
        <v>0</v>
      </c>
    </row>
    <row r="46" spans="1:10" ht="31.5" x14ac:dyDescent="0.25">
      <c r="A46" s="128" t="s">
        <v>119</v>
      </c>
      <c r="B46" s="153"/>
      <c r="C46" s="153"/>
      <c r="D46" s="153"/>
      <c r="E46" s="153"/>
      <c r="F46" s="154" t="s">
        <v>120</v>
      </c>
      <c r="G46" s="153"/>
      <c r="H46" s="153"/>
      <c r="I46" s="153"/>
      <c r="J46" s="155">
        <f t="shared" si="7"/>
        <v>0</v>
      </c>
    </row>
    <row r="47" spans="1:10" x14ac:dyDescent="0.25">
      <c r="A47" s="131" t="s">
        <v>168</v>
      </c>
      <c r="B47" s="153">
        <f>'2.sz.tábla'!B55</f>
        <v>0</v>
      </c>
      <c r="C47" s="153"/>
      <c r="D47" s="153"/>
      <c r="E47" s="153"/>
      <c r="F47" s="154" t="s">
        <v>122</v>
      </c>
      <c r="G47" s="153"/>
      <c r="H47" s="153"/>
      <c r="I47" s="153"/>
      <c r="J47" s="155">
        <f t="shared" si="7"/>
        <v>0</v>
      </c>
    </row>
    <row r="48" spans="1:10" ht="31.5" x14ac:dyDescent="0.25">
      <c r="A48" s="131" t="s">
        <v>169</v>
      </c>
      <c r="B48" s="153">
        <f>'2.sz.tábla'!B64</f>
        <v>0</v>
      </c>
      <c r="C48" s="153"/>
      <c r="D48" s="153"/>
      <c r="E48" s="153"/>
      <c r="F48" s="154" t="s">
        <v>124</v>
      </c>
      <c r="G48" s="153"/>
      <c r="H48" s="153"/>
      <c r="I48" s="153"/>
      <c r="J48" s="155">
        <f t="shared" si="7"/>
        <v>0</v>
      </c>
    </row>
    <row r="49" spans="1:10" x14ac:dyDescent="0.25">
      <c r="A49" s="156"/>
      <c r="B49" s="153"/>
      <c r="C49" s="153"/>
      <c r="D49" s="153"/>
      <c r="E49" s="153"/>
      <c r="F49" s="154" t="s">
        <v>170</v>
      </c>
      <c r="G49" s="153"/>
      <c r="H49" s="153"/>
      <c r="I49" s="153"/>
      <c r="J49" s="155">
        <f t="shared" si="7"/>
        <v>0</v>
      </c>
    </row>
    <row r="50" spans="1:10" ht="31.5" x14ac:dyDescent="0.25">
      <c r="A50" s="156"/>
      <c r="B50" s="153"/>
      <c r="C50" s="153"/>
      <c r="D50" s="153"/>
      <c r="E50" s="153"/>
      <c r="F50" s="154" t="s">
        <v>171</v>
      </c>
      <c r="G50" s="153"/>
      <c r="H50" s="153"/>
      <c r="I50" s="153"/>
      <c r="J50" s="155">
        <f t="shared" si="7"/>
        <v>0</v>
      </c>
    </row>
    <row r="51" spans="1:10" ht="31.5" x14ac:dyDescent="0.25">
      <c r="A51" s="156"/>
      <c r="B51" s="153"/>
      <c r="C51" s="153"/>
      <c r="D51" s="153"/>
      <c r="E51" s="153"/>
      <c r="F51" s="163" t="s">
        <v>172</v>
      </c>
      <c r="G51" s="153"/>
      <c r="H51" s="153"/>
      <c r="I51" s="153"/>
      <c r="J51" s="155">
        <f t="shared" si="7"/>
        <v>0</v>
      </c>
    </row>
    <row r="52" spans="1:10" ht="28.5" customHeight="1" x14ac:dyDescent="0.25">
      <c r="A52" s="161"/>
      <c r="B52" s="153"/>
      <c r="C52" s="153"/>
      <c r="D52" s="153"/>
      <c r="E52" s="153"/>
      <c r="F52" s="129" t="s">
        <v>235</v>
      </c>
      <c r="G52" s="153"/>
      <c r="H52" s="153"/>
      <c r="I52" s="153"/>
      <c r="J52" s="155">
        <f t="shared" si="7"/>
        <v>0</v>
      </c>
    </row>
    <row r="53" spans="1:10" ht="27" customHeight="1" x14ac:dyDescent="0.25">
      <c r="A53" s="161"/>
      <c r="B53" s="153"/>
      <c r="C53" s="153"/>
      <c r="D53" s="153"/>
      <c r="E53" s="153"/>
      <c r="F53" s="129" t="s">
        <v>173</v>
      </c>
      <c r="G53" s="153"/>
      <c r="H53" s="153"/>
      <c r="I53" s="153"/>
      <c r="J53" s="155">
        <f t="shared" si="7"/>
        <v>0</v>
      </c>
    </row>
    <row r="54" spans="1:10" ht="31.5" x14ac:dyDescent="0.25">
      <c r="A54" s="148" t="s">
        <v>181</v>
      </c>
      <c r="B54" s="158">
        <f>SUM(B46:B52)</f>
        <v>0</v>
      </c>
      <c r="C54" s="158"/>
      <c r="D54" s="158"/>
      <c r="E54" s="158"/>
      <c r="F54" s="150" t="s">
        <v>182</v>
      </c>
      <c r="G54" s="158">
        <f>SUM(G46:G53)</f>
        <v>0</v>
      </c>
      <c r="H54" s="158">
        <f>SUM(H46:H53)</f>
        <v>0</v>
      </c>
      <c r="I54" s="158">
        <f>SUM(I46:I53)</f>
        <v>0</v>
      </c>
      <c r="J54" s="159">
        <f t="shared" si="7"/>
        <v>0</v>
      </c>
    </row>
    <row r="55" spans="1:10" x14ac:dyDescent="0.25">
      <c r="A55" s="161" t="s">
        <v>163</v>
      </c>
      <c r="B55" s="153">
        <f>'2.sz.tábla'!B73</f>
        <v>0</v>
      </c>
      <c r="C55" s="153"/>
      <c r="D55" s="153"/>
      <c r="E55" s="153"/>
      <c r="F55" s="162" t="s">
        <v>164</v>
      </c>
      <c r="G55" s="153"/>
      <c r="H55" s="153"/>
      <c r="I55" s="153"/>
      <c r="J55" s="155">
        <f t="shared" si="7"/>
        <v>0</v>
      </c>
    </row>
    <row r="56" spans="1:10" ht="48" thickBot="1" x14ac:dyDescent="0.3">
      <c r="A56" s="164" t="s">
        <v>183</v>
      </c>
      <c r="B56" s="165">
        <f>B54+B55</f>
        <v>0</v>
      </c>
      <c r="C56" s="165"/>
      <c r="D56" s="165"/>
      <c r="E56" s="165"/>
      <c r="F56" s="166" t="s">
        <v>184</v>
      </c>
      <c r="G56" s="165">
        <f>G54+G55</f>
        <v>0</v>
      </c>
      <c r="H56" s="165">
        <f>H54+H55</f>
        <v>0</v>
      </c>
      <c r="I56" s="165">
        <f>I54+I55</f>
        <v>0</v>
      </c>
      <c r="J56" s="274">
        <f>I56-H56</f>
        <v>0</v>
      </c>
    </row>
    <row r="57" spans="1:10" ht="15.75" customHeight="1" thickBot="1" x14ac:dyDescent="0.3">
      <c r="A57" s="324" t="s">
        <v>359</v>
      </c>
      <c r="B57" s="324"/>
      <c r="C57" s="324"/>
      <c r="D57" s="324"/>
      <c r="E57" s="324"/>
      <c r="F57" s="324"/>
      <c r="G57" s="324"/>
      <c r="H57" s="324"/>
      <c r="I57" s="324"/>
      <c r="J57" s="324"/>
    </row>
    <row r="58" spans="1:10" x14ac:dyDescent="0.25">
      <c r="A58" s="275"/>
      <c r="B58" s="276"/>
      <c r="C58" s="276"/>
      <c r="D58" s="276"/>
      <c r="E58" s="276"/>
      <c r="F58" s="276"/>
      <c r="G58" s="276"/>
      <c r="H58" s="276"/>
      <c r="I58" s="276"/>
      <c r="J58" s="277"/>
    </row>
    <row r="59" spans="1:10" s="144" customFormat="1" ht="31.5" x14ac:dyDescent="0.25">
      <c r="A59" s="148" t="s">
        <v>100</v>
      </c>
      <c r="B59" s="203" t="s">
        <v>329</v>
      </c>
      <c r="C59" s="204" t="s">
        <v>361</v>
      </c>
      <c r="D59" s="204" t="s">
        <v>362</v>
      </c>
      <c r="E59" s="204" t="s">
        <v>327</v>
      </c>
      <c r="F59" s="150" t="s">
        <v>101</v>
      </c>
      <c r="G59" s="203" t="s">
        <v>329</v>
      </c>
      <c r="H59" s="204" t="s">
        <v>361</v>
      </c>
      <c r="I59" s="204" t="s">
        <v>362</v>
      </c>
      <c r="J59" s="281" t="s">
        <v>327</v>
      </c>
    </row>
    <row r="60" spans="1:10" x14ac:dyDescent="0.25">
      <c r="A60" s="148" t="s">
        <v>159</v>
      </c>
      <c r="B60" s="149"/>
      <c r="C60" s="149"/>
      <c r="D60" s="149"/>
      <c r="E60" s="149"/>
      <c r="F60" s="150"/>
      <c r="G60" s="153"/>
      <c r="H60" s="153"/>
      <c r="I60" s="153"/>
      <c r="J60" s="155"/>
    </row>
    <row r="61" spans="1:10" ht="31.5" x14ac:dyDescent="0.25">
      <c r="A61" s="152" t="s">
        <v>160</v>
      </c>
      <c r="B61" s="153"/>
      <c r="C61" s="153"/>
      <c r="D61" s="153"/>
      <c r="E61" s="149"/>
      <c r="F61" s="154" t="s">
        <v>90</v>
      </c>
      <c r="G61" s="153"/>
      <c r="H61" s="153"/>
      <c r="I61" s="153"/>
      <c r="J61" s="155"/>
    </row>
    <row r="62" spans="1:10" x14ac:dyDescent="0.25">
      <c r="A62" s="156" t="s">
        <v>103</v>
      </c>
      <c r="B62" s="153"/>
      <c r="C62" s="153"/>
      <c r="D62" s="153"/>
      <c r="E62" s="149"/>
      <c r="F62" s="154" t="s">
        <v>87</v>
      </c>
      <c r="G62" s="153"/>
      <c r="H62" s="153"/>
      <c r="I62" s="153"/>
      <c r="J62" s="155"/>
    </row>
    <row r="63" spans="1:10" x14ac:dyDescent="0.25">
      <c r="A63" s="156" t="s">
        <v>104</v>
      </c>
      <c r="B63" s="153"/>
      <c r="C63" s="153"/>
      <c r="D63" s="153"/>
      <c r="E63" s="149"/>
      <c r="F63" s="154" t="s">
        <v>105</v>
      </c>
      <c r="G63" s="153"/>
      <c r="H63" s="153"/>
      <c r="I63" s="153"/>
      <c r="J63" s="155"/>
    </row>
    <row r="64" spans="1:10" ht="31.5" x14ac:dyDescent="0.25">
      <c r="A64" s="128" t="s">
        <v>106</v>
      </c>
      <c r="B64" s="153"/>
      <c r="C64" s="153"/>
      <c r="D64" s="153"/>
      <c r="E64" s="149"/>
      <c r="F64" s="154" t="s">
        <v>91</v>
      </c>
      <c r="G64" s="153"/>
      <c r="H64" s="153"/>
      <c r="I64" s="153"/>
      <c r="J64" s="155"/>
    </row>
    <row r="65" spans="1:10" x14ac:dyDescent="0.25">
      <c r="A65" s="156"/>
      <c r="B65" s="153"/>
      <c r="C65" s="153"/>
      <c r="D65" s="153"/>
      <c r="E65" s="149"/>
      <c r="F65" s="154" t="s">
        <v>89</v>
      </c>
      <c r="G65" s="153"/>
      <c r="H65" s="153"/>
      <c r="I65" s="153"/>
      <c r="J65" s="155"/>
    </row>
    <row r="66" spans="1:10" x14ac:dyDescent="0.25">
      <c r="A66" s="156"/>
      <c r="B66" s="153"/>
      <c r="C66" s="153"/>
      <c r="D66" s="153"/>
      <c r="E66" s="149"/>
      <c r="F66" s="129" t="s">
        <v>227</v>
      </c>
      <c r="G66" s="153"/>
      <c r="H66" s="153"/>
      <c r="I66" s="153"/>
      <c r="J66" s="155"/>
    </row>
    <row r="67" spans="1:10" ht="31.5" x14ac:dyDescent="0.25">
      <c r="A67" s="156"/>
      <c r="B67" s="153"/>
      <c r="C67" s="153"/>
      <c r="D67" s="153"/>
      <c r="E67" s="149"/>
      <c r="F67" s="129" t="s">
        <v>228</v>
      </c>
      <c r="G67" s="153"/>
      <c r="H67" s="153"/>
      <c r="I67" s="153"/>
      <c r="J67" s="155"/>
    </row>
    <row r="68" spans="1:10" ht="31.5" x14ac:dyDescent="0.25">
      <c r="A68" s="152"/>
      <c r="B68" s="157"/>
      <c r="C68" s="157"/>
      <c r="D68" s="157"/>
      <c r="E68" s="149"/>
      <c r="F68" s="129" t="s">
        <v>229</v>
      </c>
      <c r="G68" s="153"/>
      <c r="H68" s="153"/>
      <c r="I68" s="153"/>
      <c r="J68" s="155"/>
    </row>
    <row r="69" spans="1:10" ht="31.5" x14ac:dyDescent="0.25">
      <c r="A69" s="128"/>
      <c r="B69" s="153"/>
      <c r="C69" s="153"/>
      <c r="D69" s="153"/>
      <c r="E69" s="149"/>
      <c r="F69" s="129" t="s">
        <v>230</v>
      </c>
      <c r="G69" s="153"/>
      <c r="H69" s="153"/>
      <c r="I69" s="153"/>
      <c r="J69" s="155"/>
    </row>
    <row r="70" spans="1:10" x14ac:dyDescent="0.25">
      <c r="A70" s="156"/>
      <c r="B70" s="153"/>
      <c r="C70" s="153"/>
      <c r="D70" s="153"/>
      <c r="E70" s="149"/>
      <c r="F70" s="129" t="s">
        <v>222</v>
      </c>
      <c r="G70" s="153"/>
      <c r="H70" s="153"/>
      <c r="I70" s="153"/>
      <c r="J70" s="155"/>
    </row>
    <row r="71" spans="1:10" ht="47.25" x14ac:dyDescent="0.25">
      <c r="A71" s="148" t="s">
        <v>185</v>
      </c>
      <c r="B71" s="158"/>
      <c r="C71" s="158"/>
      <c r="D71" s="158"/>
      <c r="E71" s="149"/>
      <c r="F71" s="150" t="s">
        <v>186</v>
      </c>
      <c r="G71" s="158">
        <f>SUM(G61:G70)</f>
        <v>0</v>
      </c>
      <c r="H71" s="153"/>
      <c r="I71" s="153"/>
      <c r="J71" s="155"/>
    </row>
    <row r="72" spans="1:10" x14ac:dyDescent="0.25">
      <c r="A72" s="161" t="s">
        <v>163</v>
      </c>
      <c r="B72" s="153"/>
      <c r="C72" s="153"/>
      <c r="D72" s="153"/>
      <c r="E72" s="149"/>
      <c r="F72" s="162" t="s">
        <v>164</v>
      </c>
      <c r="G72" s="153"/>
      <c r="H72" s="153"/>
      <c r="I72" s="153"/>
      <c r="J72" s="155"/>
    </row>
    <row r="73" spans="1:10" ht="47.25" x14ac:dyDescent="0.25">
      <c r="A73" s="148" t="s">
        <v>187</v>
      </c>
      <c r="B73" s="158"/>
      <c r="C73" s="158"/>
      <c r="D73" s="158"/>
      <c r="E73" s="149"/>
      <c r="F73" s="150" t="s">
        <v>188</v>
      </c>
      <c r="G73" s="158">
        <f>G71+G72</f>
        <v>0</v>
      </c>
      <c r="H73" s="153"/>
      <c r="I73" s="153"/>
      <c r="J73" s="155"/>
    </row>
    <row r="74" spans="1:10" x14ac:dyDescent="0.25">
      <c r="A74" s="148" t="s">
        <v>167</v>
      </c>
      <c r="B74" s="158"/>
      <c r="C74" s="158"/>
      <c r="D74" s="158"/>
      <c r="E74" s="149"/>
      <c r="F74" s="158" t="s">
        <v>16</v>
      </c>
      <c r="G74" s="153"/>
      <c r="H74" s="153"/>
      <c r="I74" s="153"/>
      <c r="J74" s="155"/>
    </row>
    <row r="75" spans="1:10" ht="31.5" x14ac:dyDescent="0.25">
      <c r="A75" s="128" t="s">
        <v>119</v>
      </c>
      <c r="B75" s="158"/>
      <c r="C75" s="158"/>
      <c r="D75" s="158"/>
      <c r="E75" s="149"/>
      <c r="F75" s="154" t="s">
        <v>120</v>
      </c>
      <c r="G75" s="153"/>
      <c r="H75" s="153"/>
      <c r="I75" s="153"/>
      <c r="J75" s="155"/>
    </row>
    <row r="76" spans="1:10" x14ac:dyDescent="0.25">
      <c r="A76" s="131" t="s">
        <v>168</v>
      </c>
      <c r="B76" s="153"/>
      <c r="C76" s="153"/>
      <c r="D76" s="153"/>
      <c r="E76" s="149"/>
      <c r="F76" s="154" t="s">
        <v>122</v>
      </c>
      <c r="G76" s="153"/>
      <c r="H76" s="153"/>
      <c r="I76" s="153"/>
      <c r="J76" s="155"/>
    </row>
    <row r="77" spans="1:10" ht="31.5" x14ac:dyDescent="0.25">
      <c r="A77" s="131" t="s">
        <v>169</v>
      </c>
      <c r="B77" s="150"/>
      <c r="C77" s="150"/>
      <c r="D77" s="150"/>
      <c r="E77" s="149"/>
      <c r="F77" s="154" t="s">
        <v>124</v>
      </c>
      <c r="G77" s="153"/>
      <c r="H77" s="153"/>
      <c r="I77" s="153"/>
      <c r="J77" s="155"/>
    </row>
    <row r="78" spans="1:10" x14ac:dyDescent="0.25">
      <c r="A78" s="156"/>
      <c r="B78" s="153"/>
      <c r="C78" s="153"/>
      <c r="D78" s="153"/>
      <c r="E78" s="149"/>
      <c r="F78" s="154" t="s">
        <v>170</v>
      </c>
      <c r="G78" s="153"/>
      <c r="H78" s="153"/>
      <c r="I78" s="153"/>
      <c r="J78" s="155"/>
    </row>
    <row r="79" spans="1:10" ht="31.5" x14ac:dyDescent="0.25">
      <c r="A79" s="148" t="s">
        <v>181</v>
      </c>
      <c r="B79" s="158"/>
      <c r="C79" s="158"/>
      <c r="D79" s="158"/>
      <c r="E79" s="149"/>
      <c r="F79" s="154" t="s">
        <v>171</v>
      </c>
      <c r="G79" s="153"/>
      <c r="H79" s="153"/>
      <c r="I79" s="153"/>
      <c r="J79" s="155"/>
    </row>
    <row r="80" spans="1:10" ht="31.5" x14ac:dyDescent="0.25">
      <c r="A80" s="161" t="s">
        <v>163</v>
      </c>
      <c r="B80" s="153"/>
      <c r="C80" s="153"/>
      <c r="D80" s="153"/>
      <c r="E80" s="149"/>
      <c r="F80" s="163" t="s">
        <v>172</v>
      </c>
      <c r="G80" s="153"/>
      <c r="H80" s="153"/>
      <c r="I80" s="153"/>
      <c r="J80" s="155"/>
    </row>
    <row r="81" spans="1:10" ht="31.5" x14ac:dyDescent="0.25">
      <c r="A81" s="161"/>
      <c r="B81" s="153"/>
      <c r="C81" s="153"/>
      <c r="D81" s="153"/>
      <c r="E81" s="149"/>
      <c r="F81" s="129" t="s">
        <v>128</v>
      </c>
      <c r="G81" s="153"/>
      <c r="H81" s="153"/>
      <c r="I81" s="153"/>
      <c r="J81" s="155"/>
    </row>
    <row r="82" spans="1:10" ht="48" thickBot="1" x14ac:dyDescent="0.3">
      <c r="A82" s="164" t="s">
        <v>189</v>
      </c>
      <c r="B82" s="165"/>
      <c r="C82" s="165"/>
      <c r="D82" s="165"/>
      <c r="E82" s="278"/>
      <c r="F82" s="166" t="s">
        <v>190</v>
      </c>
      <c r="G82" s="165">
        <f>SUM(G75:G81)</f>
        <v>0</v>
      </c>
      <c r="H82" s="167"/>
      <c r="I82" s="167"/>
      <c r="J82" s="168"/>
    </row>
    <row r="83" spans="1:10" x14ac:dyDescent="0.25">
      <c r="B83" s="145">
        <f>B82+B73+B56+B44+B27+B16</f>
        <v>73812000</v>
      </c>
      <c r="C83" s="145">
        <f>C82+C73+C56+C44+C27+C16</f>
        <v>94911325</v>
      </c>
      <c r="D83" s="145">
        <f>D82+D73+D56+D44+D27+D16</f>
        <v>108659713</v>
      </c>
      <c r="E83" s="145">
        <f>D83-C83</f>
        <v>13748388</v>
      </c>
      <c r="G83" s="145">
        <f>G82+G73+G56+G44+G27+G16</f>
        <v>73812000</v>
      </c>
      <c r="H83" s="145">
        <f>H82+H73+H56+H44+H27+H16</f>
        <v>94911325</v>
      </c>
      <c r="I83" s="145">
        <f>I82+I73+I56+I44+I27+I16</f>
        <v>108659713</v>
      </c>
      <c r="J83" s="145">
        <f>I83-H83</f>
        <v>13748388</v>
      </c>
    </row>
    <row r="84" spans="1:10" x14ac:dyDescent="0.25">
      <c r="A84" s="144" t="s">
        <v>236</v>
      </c>
      <c r="B84" s="145">
        <f>G83-B83</f>
        <v>0</v>
      </c>
    </row>
  </sheetData>
  <sheetProtection selectLockedCells="1" selectUnlockedCells="1"/>
  <mergeCells count="3">
    <mergeCell ref="A1:J1"/>
    <mergeCell ref="A29:J29"/>
    <mergeCell ref="A57:J57"/>
  </mergeCells>
  <phoneticPr fontId="20" type="noConversion"/>
  <printOptions horizontalCentered="1"/>
  <pageMargins left="0.15748031496062992" right="0.15748031496062992" top="0.59055118110236227" bottom="0.19685039370078741" header="0.11811023622047245" footer="0.51181102362204722"/>
  <pageSetup paperSize="9" scale="80" firstPageNumber="0" orientation="landscape" r:id="rId1"/>
  <headerFooter alignWithMargins="0">
    <oddHeader>&amp;C7. melléklet a ….../2017. (…...) önkormányzati rendelet tervezethez
Az önkormányzat 2017. évi költségvetéséről szóló 2/2017. (II.17.) önkormányzati rendelet 7. mellékletének helyébe a következő 7. melléklet lép: &amp;R
&amp;P. oldal
 forint</oddHeader>
  </headerFooter>
  <rowBreaks count="2" manualBreakCount="2">
    <brk id="28" max="7" man="1"/>
    <brk id="5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Layout" zoomScale="89" zoomScaleNormal="84" zoomScalePageLayoutView="89" workbookViewId="0">
      <selection activeCell="I29" sqref="I29"/>
    </sheetView>
  </sheetViews>
  <sheetFormatPr defaultRowHeight="12.75" x14ac:dyDescent="0.2"/>
  <cols>
    <col min="1" max="1" width="33.85546875" style="37" customWidth="1"/>
    <col min="2" max="2" width="11.140625" style="1" bestFit="1" customWidth="1"/>
    <col min="3" max="4" width="11" style="1" bestFit="1" customWidth="1"/>
    <col min="5" max="6" width="11.140625" style="1" bestFit="1" customWidth="1"/>
    <col min="7" max="7" width="11.7109375" style="1" bestFit="1" customWidth="1"/>
    <col min="8" max="11" width="11.140625" style="1" bestFit="1" customWidth="1"/>
    <col min="12" max="12" width="11.7109375" style="1" customWidth="1"/>
    <col min="13" max="13" width="11.42578125" style="1" customWidth="1"/>
    <col min="14" max="14" width="12.7109375" style="2" customWidth="1"/>
    <col min="15" max="15" width="13.5703125" style="1" customWidth="1"/>
    <col min="16" max="16" width="14.42578125" style="1" customWidth="1"/>
    <col min="17" max="17" width="11.7109375" style="1" bestFit="1" customWidth="1"/>
    <col min="18" max="256" width="9.140625" style="1"/>
    <col min="257" max="257" width="51" style="1" customWidth="1"/>
    <col min="258" max="259" width="11.85546875" style="1" bestFit="1" customWidth="1"/>
    <col min="260" max="265" width="13.28515625" style="1" bestFit="1" customWidth="1"/>
    <col min="266" max="266" width="16.140625" style="1" bestFit="1" customWidth="1"/>
    <col min="267" max="269" width="13.28515625" style="1" bestFit="1" customWidth="1"/>
    <col min="270" max="270" width="14.140625" style="1" bestFit="1" customWidth="1"/>
    <col min="271" max="512" width="9.140625" style="1"/>
    <col min="513" max="513" width="51" style="1" customWidth="1"/>
    <col min="514" max="515" width="11.85546875" style="1" bestFit="1" customWidth="1"/>
    <col min="516" max="521" width="13.28515625" style="1" bestFit="1" customWidth="1"/>
    <col min="522" max="522" width="16.140625" style="1" bestFit="1" customWidth="1"/>
    <col min="523" max="525" width="13.28515625" style="1" bestFit="1" customWidth="1"/>
    <col min="526" max="526" width="14.140625" style="1" bestFit="1" customWidth="1"/>
    <col min="527" max="768" width="9.140625" style="1"/>
    <col min="769" max="769" width="51" style="1" customWidth="1"/>
    <col min="770" max="771" width="11.85546875" style="1" bestFit="1" customWidth="1"/>
    <col min="772" max="777" width="13.28515625" style="1" bestFit="1" customWidth="1"/>
    <col min="778" max="778" width="16.140625" style="1" bestFit="1" customWidth="1"/>
    <col min="779" max="781" width="13.28515625" style="1" bestFit="1" customWidth="1"/>
    <col min="782" max="782" width="14.140625" style="1" bestFit="1" customWidth="1"/>
    <col min="783" max="1024" width="9.140625" style="1"/>
    <col min="1025" max="1025" width="51" style="1" customWidth="1"/>
    <col min="1026" max="1027" width="11.85546875" style="1" bestFit="1" customWidth="1"/>
    <col min="1028" max="1033" width="13.28515625" style="1" bestFit="1" customWidth="1"/>
    <col min="1034" max="1034" width="16.140625" style="1" bestFit="1" customWidth="1"/>
    <col min="1035" max="1037" width="13.28515625" style="1" bestFit="1" customWidth="1"/>
    <col min="1038" max="1038" width="14.140625" style="1" bestFit="1" customWidth="1"/>
    <col min="1039" max="1280" width="9.140625" style="1"/>
    <col min="1281" max="1281" width="51" style="1" customWidth="1"/>
    <col min="1282" max="1283" width="11.85546875" style="1" bestFit="1" customWidth="1"/>
    <col min="1284" max="1289" width="13.28515625" style="1" bestFit="1" customWidth="1"/>
    <col min="1290" max="1290" width="16.140625" style="1" bestFit="1" customWidth="1"/>
    <col min="1291" max="1293" width="13.28515625" style="1" bestFit="1" customWidth="1"/>
    <col min="1294" max="1294" width="14.140625" style="1" bestFit="1" customWidth="1"/>
    <col min="1295" max="1536" width="9.140625" style="1"/>
    <col min="1537" max="1537" width="51" style="1" customWidth="1"/>
    <col min="1538" max="1539" width="11.85546875" style="1" bestFit="1" customWidth="1"/>
    <col min="1540" max="1545" width="13.28515625" style="1" bestFit="1" customWidth="1"/>
    <col min="1546" max="1546" width="16.140625" style="1" bestFit="1" customWidth="1"/>
    <col min="1547" max="1549" width="13.28515625" style="1" bestFit="1" customWidth="1"/>
    <col min="1550" max="1550" width="14.140625" style="1" bestFit="1" customWidth="1"/>
    <col min="1551" max="1792" width="9.140625" style="1"/>
    <col min="1793" max="1793" width="51" style="1" customWidth="1"/>
    <col min="1794" max="1795" width="11.85546875" style="1" bestFit="1" customWidth="1"/>
    <col min="1796" max="1801" width="13.28515625" style="1" bestFit="1" customWidth="1"/>
    <col min="1802" max="1802" width="16.140625" style="1" bestFit="1" customWidth="1"/>
    <col min="1803" max="1805" width="13.28515625" style="1" bestFit="1" customWidth="1"/>
    <col min="1806" max="1806" width="14.140625" style="1" bestFit="1" customWidth="1"/>
    <col min="1807" max="2048" width="9.140625" style="1"/>
    <col min="2049" max="2049" width="51" style="1" customWidth="1"/>
    <col min="2050" max="2051" width="11.85546875" style="1" bestFit="1" customWidth="1"/>
    <col min="2052" max="2057" width="13.28515625" style="1" bestFit="1" customWidth="1"/>
    <col min="2058" max="2058" width="16.140625" style="1" bestFit="1" customWidth="1"/>
    <col min="2059" max="2061" width="13.28515625" style="1" bestFit="1" customWidth="1"/>
    <col min="2062" max="2062" width="14.140625" style="1" bestFit="1" customWidth="1"/>
    <col min="2063" max="2304" width="9.140625" style="1"/>
    <col min="2305" max="2305" width="51" style="1" customWidth="1"/>
    <col min="2306" max="2307" width="11.85546875" style="1" bestFit="1" customWidth="1"/>
    <col min="2308" max="2313" width="13.28515625" style="1" bestFit="1" customWidth="1"/>
    <col min="2314" max="2314" width="16.140625" style="1" bestFit="1" customWidth="1"/>
    <col min="2315" max="2317" width="13.28515625" style="1" bestFit="1" customWidth="1"/>
    <col min="2318" max="2318" width="14.140625" style="1" bestFit="1" customWidth="1"/>
    <col min="2319" max="2560" width="9.140625" style="1"/>
    <col min="2561" max="2561" width="51" style="1" customWidth="1"/>
    <col min="2562" max="2563" width="11.85546875" style="1" bestFit="1" customWidth="1"/>
    <col min="2564" max="2569" width="13.28515625" style="1" bestFit="1" customWidth="1"/>
    <col min="2570" max="2570" width="16.140625" style="1" bestFit="1" customWidth="1"/>
    <col min="2571" max="2573" width="13.28515625" style="1" bestFit="1" customWidth="1"/>
    <col min="2574" max="2574" width="14.140625" style="1" bestFit="1" customWidth="1"/>
    <col min="2575" max="2816" width="9.140625" style="1"/>
    <col min="2817" max="2817" width="51" style="1" customWidth="1"/>
    <col min="2818" max="2819" width="11.85546875" style="1" bestFit="1" customWidth="1"/>
    <col min="2820" max="2825" width="13.28515625" style="1" bestFit="1" customWidth="1"/>
    <col min="2826" max="2826" width="16.140625" style="1" bestFit="1" customWidth="1"/>
    <col min="2827" max="2829" width="13.28515625" style="1" bestFit="1" customWidth="1"/>
    <col min="2830" max="2830" width="14.140625" style="1" bestFit="1" customWidth="1"/>
    <col min="2831" max="3072" width="9.140625" style="1"/>
    <col min="3073" max="3073" width="51" style="1" customWidth="1"/>
    <col min="3074" max="3075" width="11.85546875" style="1" bestFit="1" customWidth="1"/>
    <col min="3076" max="3081" width="13.28515625" style="1" bestFit="1" customWidth="1"/>
    <col min="3082" max="3082" width="16.140625" style="1" bestFit="1" customWidth="1"/>
    <col min="3083" max="3085" width="13.28515625" style="1" bestFit="1" customWidth="1"/>
    <col min="3086" max="3086" width="14.140625" style="1" bestFit="1" customWidth="1"/>
    <col min="3087" max="3328" width="9.140625" style="1"/>
    <col min="3329" max="3329" width="51" style="1" customWidth="1"/>
    <col min="3330" max="3331" width="11.85546875" style="1" bestFit="1" customWidth="1"/>
    <col min="3332" max="3337" width="13.28515625" style="1" bestFit="1" customWidth="1"/>
    <col min="3338" max="3338" width="16.140625" style="1" bestFit="1" customWidth="1"/>
    <col min="3339" max="3341" width="13.28515625" style="1" bestFit="1" customWidth="1"/>
    <col min="3342" max="3342" width="14.140625" style="1" bestFit="1" customWidth="1"/>
    <col min="3343" max="3584" width="9.140625" style="1"/>
    <col min="3585" max="3585" width="51" style="1" customWidth="1"/>
    <col min="3586" max="3587" width="11.85546875" style="1" bestFit="1" customWidth="1"/>
    <col min="3588" max="3593" width="13.28515625" style="1" bestFit="1" customWidth="1"/>
    <col min="3594" max="3594" width="16.140625" style="1" bestFit="1" customWidth="1"/>
    <col min="3595" max="3597" width="13.28515625" style="1" bestFit="1" customWidth="1"/>
    <col min="3598" max="3598" width="14.140625" style="1" bestFit="1" customWidth="1"/>
    <col min="3599" max="3840" width="9.140625" style="1"/>
    <col min="3841" max="3841" width="51" style="1" customWidth="1"/>
    <col min="3842" max="3843" width="11.85546875" style="1" bestFit="1" customWidth="1"/>
    <col min="3844" max="3849" width="13.28515625" style="1" bestFit="1" customWidth="1"/>
    <col min="3850" max="3850" width="16.140625" style="1" bestFit="1" customWidth="1"/>
    <col min="3851" max="3853" width="13.28515625" style="1" bestFit="1" customWidth="1"/>
    <col min="3854" max="3854" width="14.140625" style="1" bestFit="1" customWidth="1"/>
    <col min="3855" max="4096" width="9.140625" style="1"/>
    <col min="4097" max="4097" width="51" style="1" customWidth="1"/>
    <col min="4098" max="4099" width="11.85546875" style="1" bestFit="1" customWidth="1"/>
    <col min="4100" max="4105" width="13.28515625" style="1" bestFit="1" customWidth="1"/>
    <col min="4106" max="4106" width="16.140625" style="1" bestFit="1" customWidth="1"/>
    <col min="4107" max="4109" width="13.28515625" style="1" bestFit="1" customWidth="1"/>
    <col min="4110" max="4110" width="14.140625" style="1" bestFit="1" customWidth="1"/>
    <col min="4111" max="4352" width="9.140625" style="1"/>
    <col min="4353" max="4353" width="51" style="1" customWidth="1"/>
    <col min="4354" max="4355" width="11.85546875" style="1" bestFit="1" customWidth="1"/>
    <col min="4356" max="4361" width="13.28515625" style="1" bestFit="1" customWidth="1"/>
    <col min="4362" max="4362" width="16.140625" style="1" bestFit="1" customWidth="1"/>
    <col min="4363" max="4365" width="13.28515625" style="1" bestFit="1" customWidth="1"/>
    <col min="4366" max="4366" width="14.140625" style="1" bestFit="1" customWidth="1"/>
    <col min="4367" max="4608" width="9.140625" style="1"/>
    <col min="4609" max="4609" width="51" style="1" customWidth="1"/>
    <col min="4610" max="4611" width="11.85546875" style="1" bestFit="1" customWidth="1"/>
    <col min="4612" max="4617" width="13.28515625" style="1" bestFit="1" customWidth="1"/>
    <col min="4618" max="4618" width="16.140625" style="1" bestFit="1" customWidth="1"/>
    <col min="4619" max="4621" width="13.28515625" style="1" bestFit="1" customWidth="1"/>
    <col min="4622" max="4622" width="14.140625" style="1" bestFit="1" customWidth="1"/>
    <col min="4623" max="4864" width="9.140625" style="1"/>
    <col min="4865" max="4865" width="51" style="1" customWidth="1"/>
    <col min="4866" max="4867" width="11.85546875" style="1" bestFit="1" customWidth="1"/>
    <col min="4868" max="4873" width="13.28515625" style="1" bestFit="1" customWidth="1"/>
    <col min="4874" max="4874" width="16.140625" style="1" bestFit="1" customWidth="1"/>
    <col min="4875" max="4877" width="13.28515625" style="1" bestFit="1" customWidth="1"/>
    <col min="4878" max="4878" width="14.140625" style="1" bestFit="1" customWidth="1"/>
    <col min="4879" max="5120" width="9.140625" style="1"/>
    <col min="5121" max="5121" width="51" style="1" customWidth="1"/>
    <col min="5122" max="5123" width="11.85546875" style="1" bestFit="1" customWidth="1"/>
    <col min="5124" max="5129" width="13.28515625" style="1" bestFit="1" customWidth="1"/>
    <col min="5130" max="5130" width="16.140625" style="1" bestFit="1" customWidth="1"/>
    <col min="5131" max="5133" width="13.28515625" style="1" bestFit="1" customWidth="1"/>
    <col min="5134" max="5134" width="14.140625" style="1" bestFit="1" customWidth="1"/>
    <col min="5135" max="5376" width="9.140625" style="1"/>
    <col min="5377" max="5377" width="51" style="1" customWidth="1"/>
    <col min="5378" max="5379" width="11.85546875" style="1" bestFit="1" customWidth="1"/>
    <col min="5380" max="5385" width="13.28515625" style="1" bestFit="1" customWidth="1"/>
    <col min="5386" max="5386" width="16.140625" style="1" bestFit="1" customWidth="1"/>
    <col min="5387" max="5389" width="13.28515625" style="1" bestFit="1" customWidth="1"/>
    <col min="5390" max="5390" width="14.140625" style="1" bestFit="1" customWidth="1"/>
    <col min="5391" max="5632" width="9.140625" style="1"/>
    <col min="5633" max="5633" width="51" style="1" customWidth="1"/>
    <col min="5634" max="5635" width="11.85546875" style="1" bestFit="1" customWidth="1"/>
    <col min="5636" max="5641" width="13.28515625" style="1" bestFit="1" customWidth="1"/>
    <col min="5642" max="5642" width="16.140625" style="1" bestFit="1" customWidth="1"/>
    <col min="5643" max="5645" width="13.28515625" style="1" bestFit="1" customWidth="1"/>
    <col min="5646" max="5646" width="14.140625" style="1" bestFit="1" customWidth="1"/>
    <col min="5647" max="5888" width="9.140625" style="1"/>
    <col min="5889" max="5889" width="51" style="1" customWidth="1"/>
    <col min="5890" max="5891" width="11.85546875" style="1" bestFit="1" customWidth="1"/>
    <col min="5892" max="5897" width="13.28515625" style="1" bestFit="1" customWidth="1"/>
    <col min="5898" max="5898" width="16.140625" style="1" bestFit="1" customWidth="1"/>
    <col min="5899" max="5901" width="13.28515625" style="1" bestFit="1" customWidth="1"/>
    <col min="5902" max="5902" width="14.140625" style="1" bestFit="1" customWidth="1"/>
    <col min="5903" max="6144" width="9.140625" style="1"/>
    <col min="6145" max="6145" width="51" style="1" customWidth="1"/>
    <col min="6146" max="6147" width="11.85546875" style="1" bestFit="1" customWidth="1"/>
    <col min="6148" max="6153" width="13.28515625" style="1" bestFit="1" customWidth="1"/>
    <col min="6154" max="6154" width="16.140625" style="1" bestFit="1" customWidth="1"/>
    <col min="6155" max="6157" width="13.28515625" style="1" bestFit="1" customWidth="1"/>
    <col min="6158" max="6158" width="14.140625" style="1" bestFit="1" customWidth="1"/>
    <col min="6159" max="6400" width="9.140625" style="1"/>
    <col min="6401" max="6401" width="51" style="1" customWidth="1"/>
    <col min="6402" max="6403" width="11.85546875" style="1" bestFit="1" customWidth="1"/>
    <col min="6404" max="6409" width="13.28515625" style="1" bestFit="1" customWidth="1"/>
    <col min="6410" max="6410" width="16.140625" style="1" bestFit="1" customWidth="1"/>
    <col min="6411" max="6413" width="13.28515625" style="1" bestFit="1" customWidth="1"/>
    <col min="6414" max="6414" width="14.140625" style="1" bestFit="1" customWidth="1"/>
    <col min="6415" max="6656" width="9.140625" style="1"/>
    <col min="6657" max="6657" width="51" style="1" customWidth="1"/>
    <col min="6658" max="6659" width="11.85546875" style="1" bestFit="1" customWidth="1"/>
    <col min="6660" max="6665" width="13.28515625" style="1" bestFit="1" customWidth="1"/>
    <col min="6666" max="6666" width="16.140625" style="1" bestFit="1" customWidth="1"/>
    <col min="6667" max="6669" width="13.28515625" style="1" bestFit="1" customWidth="1"/>
    <col min="6670" max="6670" width="14.140625" style="1" bestFit="1" customWidth="1"/>
    <col min="6671" max="6912" width="9.140625" style="1"/>
    <col min="6913" max="6913" width="51" style="1" customWidth="1"/>
    <col min="6914" max="6915" width="11.85546875" style="1" bestFit="1" customWidth="1"/>
    <col min="6916" max="6921" width="13.28515625" style="1" bestFit="1" customWidth="1"/>
    <col min="6922" max="6922" width="16.140625" style="1" bestFit="1" customWidth="1"/>
    <col min="6923" max="6925" width="13.28515625" style="1" bestFit="1" customWidth="1"/>
    <col min="6926" max="6926" width="14.140625" style="1" bestFit="1" customWidth="1"/>
    <col min="6927" max="7168" width="9.140625" style="1"/>
    <col min="7169" max="7169" width="51" style="1" customWidth="1"/>
    <col min="7170" max="7171" width="11.85546875" style="1" bestFit="1" customWidth="1"/>
    <col min="7172" max="7177" width="13.28515625" style="1" bestFit="1" customWidth="1"/>
    <col min="7178" max="7178" width="16.140625" style="1" bestFit="1" customWidth="1"/>
    <col min="7179" max="7181" width="13.28515625" style="1" bestFit="1" customWidth="1"/>
    <col min="7182" max="7182" width="14.140625" style="1" bestFit="1" customWidth="1"/>
    <col min="7183" max="7424" width="9.140625" style="1"/>
    <col min="7425" max="7425" width="51" style="1" customWidth="1"/>
    <col min="7426" max="7427" width="11.85546875" style="1" bestFit="1" customWidth="1"/>
    <col min="7428" max="7433" width="13.28515625" style="1" bestFit="1" customWidth="1"/>
    <col min="7434" max="7434" width="16.140625" style="1" bestFit="1" customWidth="1"/>
    <col min="7435" max="7437" width="13.28515625" style="1" bestFit="1" customWidth="1"/>
    <col min="7438" max="7438" width="14.140625" style="1" bestFit="1" customWidth="1"/>
    <col min="7439" max="7680" width="9.140625" style="1"/>
    <col min="7681" max="7681" width="51" style="1" customWidth="1"/>
    <col min="7682" max="7683" width="11.85546875" style="1" bestFit="1" customWidth="1"/>
    <col min="7684" max="7689" width="13.28515625" style="1" bestFit="1" customWidth="1"/>
    <col min="7690" max="7690" width="16.140625" style="1" bestFit="1" customWidth="1"/>
    <col min="7691" max="7693" width="13.28515625" style="1" bestFit="1" customWidth="1"/>
    <col min="7694" max="7694" width="14.140625" style="1" bestFit="1" customWidth="1"/>
    <col min="7695" max="7936" width="9.140625" style="1"/>
    <col min="7937" max="7937" width="51" style="1" customWidth="1"/>
    <col min="7938" max="7939" width="11.85546875" style="1" bestFit="1" customWidth="1"/>
    <col min="7940" max="7945" width="13.28515625" style="1" bestFit="1" customWidth="1"/>
    <col min="7946" max="7946" width="16.140625" style="1" bestFit="1" customWidth="1"/>
    <col min="7947" max="7949" width="13.28515625" style="1" bestFit="1" customWidth="1"/>
    <col min="7950" max="7950" width="14.140625" style="1" bestFit="1" customWidth="1"/>
    <col min="7951" max="8192" width="9.140625" style="1"/>
    <col min="8193" max="8193" width="51" style="1" customWidth="1"/>
    <col min="8194" max="8195" width="11.85546875" style="1" bestFit="1" customWidth="1"/>
    <col min="8196" max="8201" width="13.28515625" style="1" bestFit="1" customWidth="1"/>
    <col min="8202" max="8202" width="16.140625" style="1" bestFit="1" customWidth="1"/>
    <col min="8203" max="8205" width="13.28515625" style="1" bestFit="1" customWidth="1"/>
    <col min="8206" max="8206" width="14.140625" style="1" bestFit="1" customWidth="1"/>
    <col min="8207" max="8448" width="9.140625" style="1"/>
    <col min="8449" max="8449" width="51" style="1" customWidth="1"/>
    <col min="8450" max="8451" width="11.85546875" style="1" bestFit="1" customWidth="1"/>
    <col min="8452" max="8457" width="13.28515625" style="1" bestFit="1" customWidth="1"/>
    <col min="8458" max="8458" width="16.140625" style="1" bestFit="1" customWidth="1"/>
    <col min="8459" max="8461" width="13.28515625" style="1" bestFit="1" customWidth="1"/>
    <col min="8462" max="8462" width="14.140625" style="1" bestFit="1" customWidth="1"/>
    <col min="8463" max="8704" width="9.140625" style="1"/>
    <col min="8705" max="8705" width="51" style="1" customWidth="1"/>
    <col min="8706" max="8707" width="11.85546875" style="1" bestFit="1" customWidth="1"/>
    <col min="8708" max="8713" width="13.28515625" style="1" bestFit="1" customWidth="1"/>
    <col min="8714" max="8714" width="16.140625" style="1" bestFit="1" customWidth="1"/>
    <col min="8715" max="8717" width="13.28515625" style="1" bestFit="1" customWidth="1"/>
    <col min="8718" max="8718" width="14.140625" style="1" bestFit="1" customWidth="1"/>
    <col min="8719" max="8960" width="9.140625" style="1"/>
    <col min="8961" max="8961" width="51" style="1" customWidth="1"/>
    <col min="8962" max="8963" width="11.85546875" style="1" bestFit="1" customWidth="1"/>
    <col min="8964" max="8969" width="13.28515625" style="1" bestFit="1" customWidth="1"/>
    <col min="8970" max="8970" width="16.140625" style="1" bestFit="1" customWidth="1"/>
    <col min="8971" max="8973" width="13.28515625" style="1" bestFit="1" customWidth="1"/>
    <col min="8974" max="8974" width="14.140625" style="1" bestFit="1" customWidth="1"/>
    <col min="8975" max="9216" width="9.140625" style="1"/>
    <col min="9217" max="9217" width="51" style="1" customWidth="1"/>
    <col min="9218" max="9219" width="11.85546875" style="1" bestFit="1" customWidth="1"/>
    <col min="9220" max="9225" width="13.28515625" style="1" bestFit="1" customWidth="1"/>
    <col min="9226" max="9226" width="16.140625" style="1" bestFit="1" customWidth="1"/>
    <col min="9227" max="9229" width="13.28515625" style="1" bestFit="1" customWidth="1"/>
    <col min="9230" max="9230" width="14.140625" style="1" bestFit="1" customWidth="1"/>
    <col min="9231" max="9472" width="9.140625" style="1"/>
    <col min="9473" max="9473" width="51" style="1" customWidth="1"/>
    <col min="9474" max="9475" width="11.85546875" style="1" bestFit="1" customWidth="1"/>
    <col min="9476" max="9481" width="13.28515625" style="1" bestFit="1" customWidth="1"/>
    <col min="9482" max="9482" width="16.140625" style="1" bestFit="1" customWidth="1"/>
    <col min="9483" max="9485" width="13.28515625" style="1" bestFit="1" customWidth="1"/>
    <col min="9486" max="9486" width="14.140625" style="1" bestFit="1" customWidth="1"/>
    <col min="9487" max="9728" width="9.140625" style="1"/>
    <col min="9729" max="9729" width="51" style="1" customWidth="1"/>
    <col min="9730" max="9731" width="11.85546875" style="1" bestFit="1" customWidth="1"/>
    <col min="9732" max="9737" width="13.28515625" style="1" bestFit="1" customWidth="1"/>
    <col min="9738" max="9738" width="16.140625" style="1" bestFit="1" customWidth="1"/>
    <col min="9739" max="9741" width="13.28515625" style="1" bestFit="1" customWidth="1"/>
    <col min="9742" max="9742" width="14.140625" style="1" bestFit="1" customWidth="1"/>
    <col min="9743" max="9984" width="9.140625" style="1"/>
    <col min="9985" max="9985" width="51" style="1" customWidth="1"/>
    <col min="9986" max="9987" width="11.85546875" style="1" bestFit="1" customWidth="1"/>
    <col min="9988" max="9993" width="13.28515625" style="1" bestFit="1" customWidth="1"/>
    <col min="9994" max="9994" width="16.140625" style="1" bestFit="1" customWidth="1"/>
    <col min="9995" max="9997" width="13.28515625" style="1" bestFit="1" customWidth="1"/>
    <col min="9998" max="9998" width="14.140625" style="1" bestFit="1" customWidth="1"/>
    <col min="9999" max="10240" width="9.140625" style="1"/>
    <col min="10241" max="10241" width="51" style="1" customWidth="1"/>
    <col min="10242" max="10243" width="11.85546875" style="1" bestFit="1" customWidth="1"/>
    <col min="10244" max="10249" width="13.28515625" style="1" bestFit="1" customWidth="1"/>
    <col min="10250" max="10250" width="16.140625" style="1" bestFit="1" customWidth="1"/>
    <col min="10251" max="10253" width="13.28515625" style="1" bestFit="1" customWidth="1"/>
    <col min="10254" max="10254" width="14.140625" style="1" bestFit="1" customWidth="1"/>
    <col min="10255" max="10496" width="9.140625" style="1"/>
    <col min="10497" max="10497" width="51" style="1" customWidth="1"/>
    <col min="10498" max="10499" width="11.85546875" style="1" bestFit="1" customWidth="1"/>
    <col min="10500" max="10505" width="13.28515625" style="1" bestFit="1" customWidth="1"/>
    <col min="10506" max="10506" width="16.140625" style="1" bestFit="1" customWidth="1"/>
    <col min="10507" max="10509" width="13.28515625" style="1" bestFit="1" customWidth="1"/>
    <col min="10510" max="10510" width="14.140625" style="1" bestFit="1" customWidth="1"/>
    <col min="10511" max="10752" width="9.140625" style="1"/>
    <col min="10753" max="10753" width="51" style="1" customWidth="1"/>
    <col min="10754" max="10755" width="11.85546875" style="1" bestFit="1" customWidth="1"/>
    <col min="10756" max="10761" width="13.28515625" style="1" bestFit="1" customWidth="1"/>
    <col min="10762" max="10762" width="16.140625" style="1" bestFit="1" customWidth="1"/>
    <col min="10763" max="10765" width="13.28515625" style="1" bestFit="1" customWidth="1"/>
    <col min="10766" max="10766" width="14.140625" style="1" bestFit="1" customWidth="1"/>
    <col min="10767" max="11008" width="9.140625" style="1"/>
    <col min="11009" max="11009" width="51" style="1" customWidth="1"/>
    <col min="11010" max="11011" width="11.85546875" style="1" bestFit="1" customWidth="1"/>
    <col min="11012" max="11017" width="13.28515625" style="1" bestFit="1" customWidth="1"/>
    <col min="11018" max="11018" width="16.140625" style="1" bestFit="1" customWidth="1"/>
    <col min="11019" max="11021" width="13.28515625" style="1" bestFit="1" customWidth="1"/>
    <col min="11022" max="11022" width="14.140625" style="1" bestFit="1" customWidth="1"/>
    <col min="11023" max="11264" width="9.140625" style="1"/>
    <col min="11265" max="11265" width="51" style="1" customWidth="1"/>
    <col min="11266" max="11267" width="11.85546875" style="1" bestFit="1" customWidth="1"/>
    <col min="11268" max="11273" width="13.28515625" style="1" bestFit="1" customWidth="1"/>
    <col min="11274" max="11274" width="16.140625" style="1" bestFit="1" customWidth="1"/>
    <col min="11275" max="11277" width="13.28515625" style="1" bestFit="1" customWidth="1"/>
    <col min="11278" max="11278" width="14.140625" style="1" bestFit="1" customWidth="1"/>
    <col min="11279" max="11520" width="9.140625" style="1"/>
    <col min="11521" max="11521" width="51" style="1" customWidth="1"/>
    <col min="11522" max="11523" width="11.85546875" style="1" bestFit="1" customWidth="1"/>
    <col min="11524" max="11529" width="13.28515625" style="1" bestFit="1" customWidth="1"/>
    <col min="11530" max="11530" width="16.140625" style="1" bestFit="1" customWidth="1"/>
    <col min="11531" max="11533" width="13.28515625" style="1" bestFit="1" customWidth="1"/>
    <col min="11534" max="11534" width="14.140625" style="1" bestFit="1" customWidth="1"/>
    <col min="11535" max="11776" width="9.140625" style="1"/>
    <col min="11777" max="11777" width="51" style="1" customWidth="1"/>
    <col min="11778" max="11779" width="11.85546875" style="1" bestFit="1" customWidth="1"/>
    <col min="11780" max="11785" width="13.28515625" style="1" bestFit="1" customWidth="1"/>
    <col min="11786" max="11786" width="16.140625" style="1" bestFit="1" customWidth="1"/>
    <col min="11787" max="11789" width="13.28515625" style="1" bestFit="1" customWidth="1"/>
    <col min="11790" max="11790" width="14.140625" style="1" bestFit="1" customWidth="1"/>
    <col min="11791" max="12032" width="9.140625" style="1"/>
    <col min="12033" max="12033" width="51" style="1" customWidth="1"/>
    <col min="12034" max="12035" width="11.85546875" style="1" bestFit="1" customWidth="1"/>
    <col min="12036" max="12041" width="13.28515625" style="1" bestFit="1" customWidth="1"/>
    <col min="12042" max="12042" width="16.140625" style="1" bestFit="1" customWidth="1"/>
    <col min="12043" max="12045" width="13.28515625" style="1" bestFit="1" customWidth="1"/>
    <col min="12046" max="12046" width="14.140625" style="1" bestFit="1" customWidth="1"/>
    <col min="12047" max="12288" width="9.140625" style="1"/>
    <col min="12289" max="12289" width="51" style="1" customWidth="1"/>
    <col min="12290" max="12291" width="11.85546875" style="1" bestFit="1" customWidth="1"/>
    <col min="12292" max="12297" width="13.28515625" style="1" bestFit="1" customWidth="1"/>
    <col min="12298" max="12298" width="16.140625" style="1" bestFit="1" customWidth="1"/>
    <col min="12299" max="12301" width="13.28515625" style="1" bestFit="1" customWidth="1"/>
    <col min="12302" max="12302" width="14.140625" style="1" bestFit="1" customWidth="1"/>
    <col min="12303" max="12544" width="9.140625" style="1"/>
    <col min="12545" max="12545" width="51" style="1" customWidth="1"/>
    <col min="12546" max="12547" width="11.85546875" style="1" bestFit="1" customWidth="1"/>
    <col min="12548" max="12553" width="13.28515625" style="1" bestFit="1" customWidth="1"/>
    <col min="12554" max="12554" width="16.140625" style="1" bestFit="1" customWidth="1"/>
    <col min="12555" max="12557" width="13.28515625" style="1" bestFit="1" customWidth="1"/>
    <col min="12558" max="12558" width="14.140625" style="1" bestFit="1" customWidth="1"/>
    <col min="12559" max="12800" width="9.140625" style="1"/>
    <col min="12801" max="12801" width="51" style="1" customWidth="1"/>
    <col min="12802" max="12803" width="11.85546875" style="1" bestFit="1" customWidth="1"/>
    <col min="12804" max="12809" width="13.28515625" style="1" bestFit="1" customWidth="1"/>
    <col min="12810" max="12810" width="16.140625" style="1" bestFit="1" customWidth="1"/>
    <col min="12811" max="12813" width="13.28515625" style="1" bestFit="1" customWidth="1"/>
    <col min="12814" max="12814" width="14.140625" style="1" bestFit="1" customWidth="1"/>
    <col min="12815" max="13056" width="9.140625" style="1"/>
    <col min="13057" max="13057" width="51" style="1" customWidth="1"/>
    <col min="13058" max="13059" width="11.85546875" style="1" bestFit="1" customWidth="1"/>
    <col min="13060" max="13065" width="13.28515625" style="1" bestFit="1" customWidth="1"/>
    <col min="13066" max="13066" width="16.140625" style="1" bestFit="1" customWidth="1"/>
    <col min="13067" max="13069" width="13.28515625" style="1" bestFit="1" customWidth="1"/>
    <col min="13070" max="13070" width="14.140625" style="1" bestFit="1" customWidth="1"/>
    <col min="13071" max="13312" width="9.140625" style="1"/>
    <col min="13313" max="13313" width="51" style="1" customWidth="1"/>
    <col min="13314" max="13315" width="11.85546875" style="1" bestFit="1" customWidth="1"/>
    <col min="13316" max="13321" width="13.28515625" style="1" bestFit="1" customWidth="1"/>
    <col min="13322" max="13322" width="16.140625" style="1" bestFit="1" customWidth="1"/>
    <col min="13323" max="13325" width="13.28515625" style="1" bestFit="1" customWidth="1"/>
    <col min="13326" max="13326" width="14.140625" style="1" bestFit="1" customWidth="1"/>
    <col min="13327" max="13568" width="9.140625" style="1"/>
    <col min="13569" max="13569" width="51" style="1" customWidth="1"/>
    <col min="13570" max="13571" width="11.85546875" style="1" bestFit="1" customWidth="1"/>
    <col min="13572" max="13577" width="13.28515625" style="1" bestFit="1" customWidth="1"/>
    <col min="13578" max="13578" width="16.140625" style="1" bestFit="1" customWidth="1"/>
    <col min="13579" max="13581" width="13.28515625" style="1" bestFit="1" customWidth="1"/>
    <col min="13582" max="13582" width="14.140625" style="1" bestFit="1" customWidth="1"/>
    <col min="13583" max="13824" width="9.140625" style="1"/>
    <col min="13825" max="13825" width="51" style="1" customWidth="1"/>
    <col min="13826" max="13827" width="11.85546875" style="1" bestFit="1" customWidth="1"/>
    <col min="13828" max="13833" width="13.28515625" style="1" bestFit="1" customWidth="1"/>
    <col min="13834" max="13834" width="16.140625" style="1" bestFit="1" customWidth="1"/>
    <col min="13835" max="13837" width="13.28515625" style="1" bestFit="1" customWidth="1"/>
    <col min="13838" max="13838" width="14.140625" style="1" bestFit="1" customWidth="1"/>
    <col min="13839" max="14080" width="9.140625" style="1"/>
    <col min="14081" max="14081" width="51" style="1" customWidth="1"/>
    <col min="14082" max="14083" width="11.85546875" style="1" bestFit="1" customWidth="1"/>
    <col min="14084" max="14089" width="13.28515625" style="1" bestFit="1" customWidth="1"/>
    <col min="14090" max="14090" width="16.140625" style="1" bestFit="1" customWidth="1"/>
    <col min="14091" max="14093" width="13.28515625" style="1" bestFit="1" customWidth="1"/>
    <col min="14094" max="14094" width="14.140625" style="1" bestFit="1" customWidth="1"/>
    <col min="14095" max="14336" width="9.140625" style="1"/>
    <col min="14337" max="14337" width="51" style="1" customWidth="1"/>
    <col min="14338" max="14339" width="11.85546875" style="1" bestFit="1" customWidth="1"/>
    <col min="14340" max="14345" width="13.28515625" style="1" bestFit="1" customWidth="1"/>
    <col min="14346" max="14346" width="16.140625" style="1" bestFit="1" customWidth="1"/>
    <col min="14347" max="14349" width="13.28515625" style="1" bestFit="1" customWidth="1"/>
    <col min="14350" max="14350" width="14.140625" style="1" bestFit="1" customWidth="1"/>
    <col min="14351" max="14592" width="9.140625" style="1"/>
    <col min="14593" max="14593" width="51" style="1" customWidth="1"/>
    <col min="14594" max="14595" width="11.85546875" style="1" bestFit="1" customWidth="1"/>
    <col min="14596" max="14601" width="13.28515625" style="1" bestFit="1" customWidth="1"/>
    <col min="14602" max="14602" width="16.140625" style="1" bestFit="1" customWidth="1"/>
    <col min="14603" max="14605" width="13.28515625" style="1" bestFit="1" customWidth="1"/>
    <col min="14606" max="14606" width="14.140625" style="1" bestFit="1" customWidth="1"/>
    <col min="14607" max="14848" width="9.140625" style="1"/>
    <col min="14849" max="14849" width="51" style="1" customWidth="1"/>
    <col min="14850" max="14851" width="11.85546875" style="1" bestFit="1" customWidth="1"/>
    <col min="14852" max="14857" width="13.28515625" style="1" bestFit="1" customWidth="1"/>
    <col min="14858" max="14858" width="16.140625" style="1" bestFit="1" customWidth="1"/>
    <col min="14859" max="14861" width="13.28515625" style="1" bestFit="1" customWidth="1"/>
    <col min="14862" max="14862" width="14.140625" style="1" bestFit="1" customWidth="1"/>
    <col min="14863" max="15104" width="9.140625" style="1"/>
    <col min="15105" max="15105" width="51" style="1" customWidth="1"/>
    <col min="15106" max="15107" width="11.85546875" style="1" bestFit="1" customWidth="1"/>
    <col min="15108" max="15113" width="13.28515625" style="1" bestFit="1" customWidth="1"/>
    <col min="15114" max="15114" width="16.140625" style="1" bestFit="1" customWidth="1"/>
    <col min="15115" max="15117" width="13.28515625" style="1" bestFit="1" customWidth="1"/>
    <col min="15118" max="15118" width="14.140625" style="1" bestFit="1" customWidth="1"/>
    <col min="15119" max="15360" width="9.140625" style="1"/>
    <col min="15361" max="15361" width="51" style="1" customWidth="1"/>
    <col min="15362" max="15363" width="11.85546875" style="1" bestFit="1" customWidth="1"/>
    <col min="15364" max="15369" width="13.28515625" style="1" bestFit="1" customWidth="1"/>
    <col min="15370" max="15370" width="16.140625" style="1" bestFit="1" customWidth="1"/>
    <col min="15371" max="15373" width="13.28515625" style="1" bestFit="1" customWidth="1"/>
    <col min="15374" max="15374" width="14.140625" style="1" bestFit="1" customWidth="1"/>
    <col min="15375" max="15616" width="9.140625" style="1"/>
    <col min="15617" max="15617" width="51" style="1" customWidth="1"/>
    <col min="15618" max="15619" width="11.85546875" style="1" bestFit="1" customWidth="1"/>
    <col min="15620" max="15625" width="13.28515625" style="1" bestFit="1" customWidth="1"/>
    <col min="15626" max="15626" width="16.140625" style="1" bestFit="1" customWidth="1"/>
    <col min="15627" max="15629" width="13.28515625" style="1" bestFit="1" customWidth="1"/>
    <col min="15630" max="15630" width="14.140625" style="1" bestFit="1" customWidth="1"/>
    <col min="15631" max="15872" width="9.140625" style="1"/>
    <col min="15873" max="15873" width="51" style="1" customWidth="1"/>
    <col min="15874" max="15875" width="11.85546875" style="1" bestFit="1" customWidth="1"/>
    <col min="15876" max="15881" width="13.28515625" style="1" bestFit="1" customWidth="1"/>
    <col min="15882" max="15882" width="16.140625" style="1" bestFit="1" customWidth="1"/>
    <col min="15883" max="15885" width="13.28515625" style="1" bestFit="1" customWidth="1"/>
    <col min="15886" max="15886" width="14.140625" style="1" bestFit="1" customWidth="1"/>
    <col min="15887" max="16128" width="9.140625" style="1"/>
    <col min="16129" max="16129" width="51" style="1" customWidth="1"/>
    <col min="16130" max="16131" width="11.85546875" style="1" bestFit="1" customWidth="1"/>
    <col min="16132" max="16137" width="13.28515625" style="1" bestFit="1" customWidth="1"/>
    <col min="16138" max="16138" width="16.140625" style="1" bestFit="1" customWidth="1"/>
    <col min="16139" max="16141" width="13.28515625" style="1" bestFit="1" customWidth="1"/>
    <col min="16142" max="16142" width="14.140625" style="1" bestFit="1" customWidth="1"/>
    <col min="16143" max="16384" width="9.140625" style="1"/>
  </cols>
  <sheetData>
    <row r="1" spans="1:17" x14ac:dyDescent="0.2">
      <c r="A1" s="3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ht="13.5" thickBot="1" x14ac:dyDescent="0.25">
      <c r="A2" s="3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25"/>
      <c r="N2" s="325"/>
    </row>
    <row r="3" spans="1:17" x14ac:dyDescent="0.2">
      <c r="A3" s="326" t="s">
        <v>299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8"/>
    </row>
    <row r="4" spans="1:17" x14ac:dyDescent="0.2">
      <c r="A4" s="3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</row>
    <row r="5" spans="1:17" s="2" customFormat="1" ht="25.5" x14ac:dyDescent="0.2">
      <c r="A5" s="34" t="s">
        <v>84</v>
      </c>
      <c r="B5" s="26" t="s">
        <v>191</v>
      </c>
      <c r="C5" s="26" t="s">
        <v>192</v>
      </c>
      <c r="D5" s="26" t="s">
        <v>193</v>
      </c>
      <c r="E5" s="26" t="s">
        <v>194</v>
      </c>
      <c r="F5" s="26" t="s">
        <v>195</v>
      </c>
      <c r="G5" s="26" t="s">
        <v>196</v>
      </c>
      <c r="H5" s="26" t="s">
        <v>197</v>
      </c>
      <c r="I5" s="26" t="s">
        <v>198</v>
      </c>
      <c r="J5" s="26" t="s">
        <v>273</v>
      </c>
      <c r="K5" s="26" t="s">
        <v>199</v>
      </c>
      <c r="L5" s="26" t="s">
        <v>200</v>
      </c>
      <c r="M5" s="26" t="s">
        <v>201</v>
      </c>
      <c r="N5" s="29" t="s">
        <v>83</v>
      </c>
    </row>
    <row r="6" spans="1:17" x14ac:dyDescent="0.2">
      <c r="A6" s="34" t="s">
        <v>202</v>
      </c>
      <c r="B6" s="14">
        <v>34515214</v>
      </c>
      <c r="C6" s="14">
        <f t="shared" ref="C6:M6" si="0">B36</f>
        <v>19174077</v>
      </c>
      <c r="D6" s="14">
        <f t="shared" si="0"/>
        <v>19051293</v>
      </c>
      <c r="E6" s="14">
        <f t="shared" si="0"/>
        <v>23131875</v>
      </c>
      <c r="F6" s="14">
        <f t="shared" si="0"/>
        <v>20119925</v>
      </c>
      <c r="G6" s="14">
        <f t="shared" si="0"/>
        <v>21948864</v>
      </c>
      <c r="H6" s="14">
        <f t="shared" si="0"/>
        <v>23243717.571428567</v>
      </c>
      <c r="I6" s="14">
        <f t="shared" si="0"/>
        <v>19083897.47619047</v>
      </c>
      <c r="J6" s="14">
        <f t="shared" si="0"/>
        <v>26102014.330952376</v>
      </c>
      <c r="K6" s="14">
        <f t="shared" si="0"/>
        <v>20566067.435714282</v>
      </c>
      <c r="L6" s="14">
        <f t="shared" si="0"/>
        <v>13648593.540476186</v>
      </c>
      <c r="M6" s="14">
        <f t="shared" si="0"/>
        <v>6926119.6452380922</v>
      </c>
      <c r="N6" s="30">
        <v>34515214</v>
      </c>
    </row>
    <row r="7" spans="1:17" ht="25.5" x14ac:dyDescent="0.2">
      <c r="A7" s="33" t="s">
        <v>274</v>
      </c>
      <c r="B7" s="27">
        <v>1983860</v>
      </c>
      <c r="C7" s="27">
        <v>2344890</v>
      </c>
      <c r="D7" s="27">
        <v>3424105</v>
      </c>
      <c r="E7" s="27">
        <v>2140945</v>
      </c>
      <c r="F7" s="27">
        <v>2164551</v>
      </c>
      <c r="G7" s="27">
        <v>2702351</v>
      </c>
      <c r="H7" s="27">
        <v>2345547</v>
      </c>
      <c r="I7" s="27">
        <f>14028560/5-1191900+843400</f>
        <v>2457212</v>
      </c>
      <c r="J7" s="27">
        <f t="shared" ref="J7:M7" si="1">14028560/5</f>
        <v>2805712</v>
      </c>
      <c r="K7" s="27">
        <f t="shared" si="1"/>
        <v>2805712</v>
      </c>
      <c r="L7" s="27">
        <f t="shared" si="1"/>
        <v>2805712</v>
      </c>
      <c r="M7" s="27">
        <f t="shared" si="1"/>
        <v>2805712</v>
      </c>
      <c r="N7" s="30">
        <f>SUM(B7:M7)</f>
        <v>30786309</v>
      </c>
      <c r="O7" s="11">
        <f>'1.sz.tábla '!D5</f>
        <v>30786309</v>
      </c>
      <c r="P7" s="11">
        <f>N7-O7</f>
        <v>0</v>
      </c>
      <c r="Q7" s="11"/>
    </row>
    <row r="8" spans="1:17" x14ac:dyDescent="0.2">
      <c r="A8" s="33" t="s">
        <v>159</v>
      </c>
      <c r="B8" s="15">
        <v>199</v>
      </c>
      <c r="C8" s="15">
        <v>10288</v>
      </c>
      <c r="D8" s="15">
        <v>4978</v>
      </c>
      <c r="E8" s="15">
        <v>36893</v>
      </c>
      <c r="F8" s="15">
        <v>1835287</v>
      </c>
      <c r="G8" s="15">
        <f>1247425/7</f>
        <v>178203.57142857142</v>
      </c>
      <c r="H8" s="15">
        <f t="shared" ref="H8:M8" si="2">1247425/7</f>
        <v>178203.57142857142</v>
      </c>
      <c r="I8" s="15">
        <f t="shared" si="2"/>
        <v>178203.57142857142</v>
      </c>
      <c r="J8" s="15">
        <f t="shared" si="2"/>
        <v>178203.57142857142</v>
      </c>
      <c r="K8" s="15">
        <f t="shared" si="2"/>
        <v>178203.57142857142</v>
      </c>
      <c r="L8" s="15">
        <f t="shared" si="2"/>
        <v>178203.57142857142</v>
      </c>
      <c r="M8" s="15">
        <f t="shared" si="2"/>
        <v>178203.57142857142</v>
      </c>
      <c r="N8" s="30">
        <f t="shared" ref="N8:N18" si="3">SUM(B8:M8)</f>
        <v>3135069.9999999995</v>
      </c>
      <c r="O8" s="22">
        <f>'1.sz.tábla '!D8</f>
        <v>3135070</v>
      </c>
      <c r="P8" s="11">
        <f t="shared" ref="P8:P34" si="4">N8-O8</f>
        <v>0</v>
      </c>
      <c r="Q8" s="11"/>
    </row>
    <row r="9" spans="1:17" x14ac:dyDescent="0.2">
      <c r="A9" s="33" t="s">
        <v>203</v>
      </c>
      <c r="B9" s="15">
        <v>46431</v>
      </c>
      <c r="C9" s="15">
        <v>309267</v>
      </c>
      <c r="D9" s="15">
        <v>5113373</v>
      </c>
      <c r="E9" s="15">
        <v>227419</v>
      </c>
      <c r="F9" s="15">
        <v>416194</v>
      </c>
      <c r="G9" s="15">
        <v>124159</v>
      </c>
      <c r="H9" s="15">
        <v>2342266</v>
      </c>
      <c r="I9" s="15">
        <f>1253891/4</f>
        <v>313472.75</v>
      </c>
      <c r="J9" s="15">
        <v>1500000</v>
      </c>
      <c r="K9" s="15">
        <v>313473</v>
      </c>
      <c r="L9" s="15">
        <v>313473</v>
      </c>
      <c r="M9" s="15">
        <v>313472</v>
      </c>
      <c r="N9" s="30">
        <f t="shared" si="3"/>
        <v>11332999.75</v>
      </c>
      <c r="O9" s="22">
        <f>'1.sz.tábla '!D7</f>
        <v>11333000</v>
      </c>
      <c r="P9" s="11">
        <f t="shared" si="4"/>
        <v>-0.25</v>
      </c>
      <c r="Q9" s="11"/>
    </row>
    <row r="10" spans="1:17" ht="25.5" x14ac:dyDescent="0.2">
      <c r="A10" s="33" t="s">
        <v>275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30">
        <f t="shared" si="3"/>
        <v>0</v>
      </c>
      <c r="O10" s="11">
        <f>'1.sz.tábla '!D10</f>
        <v>0</v>
      </c>
      <c r="P10" s="11">
        <f t="shared" si="4"/>
        <v>0</v>
      </c>
      <c r="Q10" s="11"/>
    </row>
    <row r="11" spans="1:17" x14ac:dyDescent="0.2">
      <c r="A11" s="35" t="s">
        <v>204</v>
      </c>
      <c r="B11" s="16">
        <f t="shared" ref="B11:M11" si="5">SUM(B7:B10)</f>
        <v>2030490</v>
      </c>
      <c r="C11" s="16">
        <f t="shared" si="5"/>
        <v>2664445</v>
      </c>
      <c r="D11" s="16">
        <f t="shared" si="5"/>
        <v>8542456</v>
      </c>
      <c r="E11" s="16">
        <f t="shared" si="5"/>
        <v>2405257</v>
      </c>
      <c r="F11" s="16">
        <f t="shared" si="5"/>
        <v>4416032</v>
      </c>
      <c r="G11" s="16">
        <f t="shared" si="5"/>
        <v>3004713.5714285714</v>
      </c>
      <c r="H11" s="16">
        <f t="shared" si="5"/>
        <v>4866016.5714285709</v>
      </c>
      <c r="I11" s="16">
        <f t="shared" si="5"/>
        <v>2948888.3214285714</v>
      </c>
      <c r="J11" s="16">
        <f t="shared" si="5"/>
        <v>4483915.5714285709</v>
      </c>
      <c r="K11" s="16">
        <f t="shared" si="5"/>
        <v>3297388.5714285714</v>
      </c>
      <c r="L11" s="16">
        <f t="shared" si="5"/>
        <v>3297388.5714285714</v>
      </c>
      <c r="M11" s="16">
        <f t="shared" si="5"/>
        <v>3297387.5714285714</v>
      </c>
      <c r="N11" s="30">
        <f t="shared" si="3"/>
        <v>45254378.750000007</v>
      </c>
      <c r="O11" s="3">
        <f>SUM(O7:O10)</f>
        <v>45254379</v>
      </c>
      <c r="P11" s="11">
        <f t="shared" si="4"/>
        <v>-0.2499999925494194</v>
      </c>
      <c r="Q11" s="11"/>
    </row>
    <row r="12" spans="1:17" ht="25.5" x14ac:dyDescent="0.2">
      <c r="A12" s="33" t="s">
        <v>276</v>
      </c>
      <c r="B12" s="15"/>
      <c r="C12" s="15"/>
      <c r="D12" s="15"/>
      <c r="E12" s="15"/>
      <c r="F12" s="15"/>
      <c r="G12" s="15">
        <v>13000000</v>
      </c>
      <c r="H12" s="15"/>
      <c r="I12" s="15">
        <f>5000000+10014491</f>
        <v>15014491</v>
      </c>
      <c r="J12" s="15"/>
      <c r="K12" s="15"/>
      <c r="L12" s="15"/>
      <c r="M12" s="15"/>
      <c r="N12" s="30">
        <f t="shared" si="3"/>
        <v>28014491</v>
      </c>
      <c r="O12" s="11">
        <f>'1.sz.tábla '!D6</f>
        <v>28014491</v>
      </c>
      <c r="P12" s="11">
        <f t="shared" si="4"/>
        <v>0</v>
      </c>
      <c r="Q12" s="11"/>
    </row>
    <row r="13" spans="1:17" x14ac:dyDescent="0.2">
      <c r="A13" s="33" t="s">
        <v>277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30">
        <f t="shared" si="3"/>
        <v>0</v>
      </c>
      <c r="O13" s="11">
        <f>'1.sz.tábla '!D11</f>
        <v>0</v>
      </c>
      <c r="P13" s="11">
        <f t="shared" si="4"/>
        <v>0</v>
      </c>
      <c r="Q13" s="11"/>
    </row>
    <row r="14" spans="1:17" ht="25.5" x14ac:dyDescent="0.2">
      <c r="A14" s="33" t="s">
        <v>278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0">
        <f t="shared" si="3"/>
        <v>0</v>
      </c>
      <c r="O14" s="11">
        <v>0</v>
      </c>
      <c r="P14" s="11">
        <f t="shared" si="4"/>
        <v>0</v>
      </c>
      <c r="Q14" s="11"/>
    </row>
    <row r="15" spans="1:17" x14ac:dyDescent="0.2">
      <c r="A15" s="35" t="s">
        <v>205</v>
      </c>
      <c r="B15" s="16">
        <f t="shared" ref="B15:M15" si="6">SUM(B12:B14)</f>
        <v>0</v>
      </c>
      <c r="C15" s="16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13000000</v>
      </c>
      <c r="H15" s="16">
        <f t="shared" si="6"/>
        <v>0</v>
      </c>
      <c r="I15" s="16">
        <f t="shared" si="6"/>
        <v>15014491</v>
      </c>
      <c r="J15" s="16">
        <f t="shared" si="6"/>
        <v>0</v>
      </c>
      <c r="K15" s="16">
        <f t="shared" si="6"/>
        <v>0</v>
      </c>
      <c r="L15" s="16">
        <f t="shared" si="6"/>
        <v>0</v>
      </c>
      <c r="M15" s="16">
        <f t="shared" si="6"/>
        <v>0</v>
      </c>
      <c r="N15" s="30">
        <f t="shared" si="3"/>
        <v>28014491</v>
      </c>
      <c r="O15" s="23">
        <f>SUM(O12:O14)</f>
        <v>28014491</v>
      </c>
      <c r="P15" s="11">
        <f t="shared" si="4"/>
        <v>0</v>
      </c>
      <c r="Q15" s="11"/>
    </row>
    <row r="16" spans="1:17" s="2" customFormat="1" x14ac:dyDescent="0.2">
      <c r="A16" s="34" t="s">
        <v>11</v>
      </c>
      <c r="B16" s="17">
        <f t="shared" ref="B16:M16" si="7">SUM(B11,B15)</f>
        <v>2030490</v>
      </c>
      <c r="C16" s="17">
        <f t="shared" si="7"/>
        <v>2664445</v>
      </c>
      <c r="D16" s="17">
        <f t="shared" si="7"/>
        <v>8542456</v>
      </c>
      <c r="E16" s="17">
        <f t="shared" si="7"/>
        <v>2405257</v>
      </c>
      <c r="F16" s="17">
        <f t="shared" si="7"/>
        <v>4416032</v>
      </c>
      <c r="G16" s="17">
        <f t="shared" si="7"/>
        <v>16004713.571428571</v>
      </c>
      <c r="H16" s="17">
        <f t="shared" si="7"/>
        <v>4866016.5714285709</v>
      </c>
      <c r="I16" s="17">
        <f t="shared" si="7"/>
        <v>17963379.321428571</v>
      </c>
      <c r="J16" s="17">
        <f t="shared" si="7"/>
        <v>4483915.5714285709</v>
      </c>
      <c r="K16" s="17">
        <f t="shared" si="7"/>
        <v>3297388.5714285714</v>
      </c>
      <c r="L16" s="17">
        <f t="shared" si="7"/>
        <v>3297388.5714285714</v>
      </c>
      <c r="M16" s="17">
        <f t="shared" si="7"/>
        <v>3297387.5714285714</v>
      </c>
      <c r="N16" s="30">
        <f t="shared" si="3"/>
        <v>73268869.749999985</v>
      </c>
      <c r="O16" s="3">
        <f>O11+O15</f>
        <v>73268870</v>
      </c>
      <c r="P16" s="11">
        <f t="shared" si="4"/>
        <v>-0.25000001490116119</v>
      </c>
      <c r="Q16" s="11"/>
    </row>
    <row r="17" spans="1:17" ht="38.25" x14ac:dyDescent="0.2">
      <c r="A17" s="33" t="s">
        <v>286</v>
      </c>
      <c r="B17" s="15"/>
      <c r="C17" s="15"/>
      <c r="D17" s="15">
        <v>329301</v>
      </c>
      <c r="E17" s="15">
        <v>63096</v>
      </c>
      <c r="F17" s="15">
        <v>72564</v>
      </c>
      <c r="G17" s="15">
        <v>72564</v>
      </c>
      <c r="H17" s="15">
        <v>72564</v>
      </c>
      <c r="I17" s="15">
        <f>469185/5</f>
        <v>93837</v>
      </c>
      <c r="J17" s="15">
        <f t="shared" ref="J17:M17" si="8">469185/5</f>
        <v>93837</v>
      </c>
      <c r="K17" s="15">
        <f t="shared" si="8"/>
        <v>93837</v>
      </c>
      <c r="L17" s="15">
        <f t="shared" si="8"/>
        <v>93837</v>
      </c>
      <c r="M17" s="15">
        <f t="shared" si="8"/>
        <v>93837</v>
      </c>
      <c r="N17" s="48">
        <f t="shared" si="3"/>
        <v>1079274</v>
      </c>
      <c r="O17" s="11">
        <f>'1.sz.tábla '!D14</f>
        <v>1079274</v>
      </c>
      <c r="P17" s="11">
        <f t="shared" si="4"/>
        <v>0</v>
      </c>
      <c r="Q17" s="11"/>
    </row>
    <row r="18" spans="1:17" ht="25.5" x14ac:dyDescent="0.2">
      <c r="A18" s="33" t="s">
        <v>279</v>
      </c>
      <c r="B18" s="15">
        <f>O18</f>
        <v>34311569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0">
        <f t="shared" si="3"/>
        <v>34311569</v>
      </c>
      <c r="O18" s="11">
        <f>'1.sz.tábla '!D13</f>
        <v>34311569</v>
      </c>
      <c r="P18" s="11">
        <f t="shared" si="4"/>
        <v>0</v>
      </c>
      <c r="Q18" s="11"/>
    </row>
    <row r="19" spans="1:17" x14ac:dyDescent="0.2">
      <c r="A19" s="34" t="s">
        <v>14</v>
      </c>
      <c r="B19" s="18">
        <f>SUM(B16:B18)</f>
        <v>36342059</v>
      </c>
      <c r="C19" s="18">
        <f t="shared" ref="C19:M19" si="9">SUM(C16:C18)</f>
        <v>2664445</v>
      </c>
      <c r="D19" s="18">
        <f t="shared" si="9"/>
        <v>8871757</v>
      </c>
      <c r="E19" s="18">
        <f t="shared" si="9"/>
        <v>2468353</v>
      </c>
      <c r="F19" s="18">
        <f t="shared" si="9"/>
        <v>4488596</v>
      </c>
      <c r="G19" s="18">
        <f t="shared" si="9"/>
        <v>16077277.571428571</v>
      </c>
      <c r="H19" s="18">
        <f t="shared" si="9"/>
        <v>4938580.5714285709</v>
      </c>
      <c r="I19" s="18">
        <f t="shared" si="9"/>
        <v>18057216.321428571</v>
      </c>
      <c r="J19" s="18">
        <f t="shared" si="9"/>
        <v>4577752.5714285709</v>
      </c>
      <c r="K19" s="18">
        <f t="shared" si="9"/>
        <v>3391225.5714285714</v>
      </c>
      <c r="L19" s="18">
        <f t="shared" si="9"/>
        <v>3391225.5714285714</v>
      </c>
      <c r="M19" s="18">
        <f t="shared" si="9"/>
        <v>3391224.5714285714</v>
      </c>
      <c r="N19" s="19">
        <f>SUM(N16:N18)</f>
        <v>108659712.74999999</v>
      </c>
      <c r="O19" s="3">
        <f>O16+O17+O18</f>
        <v>108659713</v>
      </c>
      <c r="P19" s="11">
        <f t="shared" si="4"/>
        <v>-0.25000001490116119</v>
      </c>
      <c r="Q19" s="11"/>
    </row>
    <row r="20" spans="1:17" x14ac:dyDescent="0.2">
      <c r="A20" s="33" t="s">
        <v>280</v>
      </c>
      <c r="B20" s="15">
        <v>836725</v>
      </c>
      <c r="C20" s="15">
        <v>980459</v>
      </c>
      <c r="D20" s="15">
        <v>1145605</v>
      </c>
      <c r="E20" s="15">
        <v>874562</v>
      </c>
      <c r="F20" s="15">
        <v>911749</v>
      </c>
      <c r="G20" s="15">
        <v>926836</v>
      </c>
      <c r="H20" s="15">
        <v>906615</v>
      </c>
      <c r="I20" s="15">
        <f>5103039/5</f>
        <v>1020607.8</v>
      </c>
      <c r="J20" s="15">
        <f t="shared" ref="J20:M20" si="10">5103039/5</f>
        <v>1020607.8</v>
      </c>
      <c r="K20" s="15">
        <f t="shared" si="10"/>
        <v>1020607.8</v>
      </c>
      <c r="L20" s="15">
        <f t="shared" si="10"/>
        <v>1020607.8</v>
      </c>
      <c r="M20" s="15">
        <f t="shared" si="10"/>
        <v>1020607.8</v>
      </c>
      <c r="N20" s="20">
        <f>SUM(B20:M20)</f>
        <v>11685590.000000002</v>
      </c>
      <c r="O20" s="24">
        <f>'3.sz.tábla '!D6</f>
        <v>11685590</v>
      </c>
      <c r="P20" s="11">
        <f t="shared" si="4"/>
        <v>0</v>
      </c>
      <c r="Q20" s="11"/>
    </row>
    <row r="21" spans="1:17" ht="25.5" x14ac:dyDescent="0.2">
      <c r="A21" s="33" t="s">
        <v>281</v>
      </c>
      <c r="B21" s="15">
        <v>234575</v>
      </c>
      <c r="C21" s="15">
        <v>189000</v>
      </c>
      <c r="D21" s="15">
        <v>240054</v>
      </c>
      <c r="E21" s="15">
        <v>181000</v>
      </c>
      <c r="F21" s="15">
        <v>182000</v>
      </c>
      <c r="G21" s="15">
        <v>184000</v>
      </c>
      <c r="H21" s="15">
        <v>182000</v>
      </c>
      <c r="I21" s="15">
        <f>905741/5</f>
        <v>181148.2</v>
      </c>
      <c r="J21" s="15">
        <f t="shared" ref="J21:M21" si="11">905741/5</f>
        <v>181148.2</v>
      </c>
      <c r="K21" s="15">
        <f t="shared" si="11"/>
        <v>181148.2</v>
      </c>
      <c r="L21" s="15">
        <f t="shared" si="11"/>
        <v>181148.2</v>
      </c>
      <c r="M21" s="15">
        <f t="shared" si="11"/>
        <v>181148.2</v>
      </c>
      <c r="N21" s="20">
        <f t="shared" ref="N21:N33" si="12">SUM(B21:M21)</f>
        <v>2298370</v>
      </c>
      <c r="O21" s="24">
        <f>'3.sz.tábla '!D7</f>
        <v>2298370</v>
      </c>
      <c r="P21" s="11">
        <f t="shared" si="4"/>
        <v>0</v>
      </c>
      <c r="Q21" s="11"/>
    </row>
    <row r="22" spans="1:17" x14ac:dyDescent="0.2">
      <c r="A22" s="33" t="s">
        <v>282</v>
      </c>
      <c r="B22" s="15">
        <v>620080</v>
      </c>
      <c r="C22" s="15">
        <v>1252770</v>
      </c>
      <c r="D22" s="15">
        <v>1075158</v>
      </c>
      <c r="E22" s="15">
        <v>1198932</v>
      </c>
      <c r="F22" s="15">
        <v>707444</v>
      </c>
      <c r="G22" s="15">
        <v>909612</v>
      </c>
      <c r="H22" s="15">
        <v>843554</v>
      </c>
      <c r="I22" s="15">
        <f>6914150/5</f>
        <v>1382830</v>
      </c>
      <c r="J22" s="15">
        <f t="shared" ref="J22:M22" si="13">6914150/5</f>
        <v>1382830</v>
      </c>
      <c r="K22" s="15">
        <f t="shared" si="13"/>
        <v>1382830</v>
      </c>
      <c r="L22" s="15">
        <f t="shared" si="13"/>
        <v>1382830</v>
      </c>
      <c r="M22" s="15">
        <f t="shared" si="13"/>
        <v>1382830</v>
      </c>
      <c r="N22" s="20">
        <f t="shared" si="12"/>
        <v>13521700</v>
      </c>
      <c r="O22" s="24">
        <f>'3.sz.tábla '!D8</f>
        <v>13521700</v>
      </c>
      <c r="P22" s="11">
        <f t="shared" si="4"/>
        <v>0</v>
      </c>
      <c r="Q22" s="11"/>
    </row>
    <row r="23" spans="1:17" x14ac:dyDescent="0.2">
      <c r="A23" s="33" t="s">
        <v>206</v>
      </c>
      <c r="B23" s="15"/>
      <c r="C23" s="15">
        <v>90000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f>1720000/5</f>
        <v>344000</v>
      </c>
      <c r="J23" s="15">
        <f t="shared" ref="J23:M23" si="14">1720000/5</f>
        <v>344000</v>
      </c>
      <c r="K23" s="15">
        <f t="shared" si="14"/>
        <v>344000</v>
      </c>
      <c r="L23" s="15">
        <f t="shared" si="14"/>
        <v>344000</v>
      </c>
      <c r="M23" s="15">
        <f t="shared" si="14"/>
        <v>344000</v>
      </c>
      <c r="N23" s="20">
        <f t="shared" si="12"/>
        <v>1810000</v>
      </c>
      <c r="O23" s="24">
        <f>'3.sz.tábla '!D24</f>
        <v>1810000</v>
      </c>
      <c r="P23" s="11">
        <f t="shared" si="4"/>
        <v>0</v>
      </c>
      <c r="Q23" s="11"/>
    </row>
    <row r="24" spans="1:17" ht="25.5" x14ac:dyDescent="0.2">
      <c r="A24" s="33" t="s">
        <v>283</v>
      </c>
      <c r="B24" s="15">
        <v>0</v>
      </c>
      <c r="C24" s="15"/>
      <c r="D24" s="15">
        <v>525000</v>
      </c>
      <c r="E24" s="15">
        <v>0</v>
      </c>
      <c r="F24" s="15">
        <v>0</v>
      </c>
      <c r="G24" s="15"/>
      <c r="H24" s="15"/>
      <c r="I24" s="15">
        <v>843400</v>
      </c>
      <c r="J24" s="15"/>
      <c r="K24" s="15">
        <v>195000</v>
      </c>
      <c r="L24" s="15"/>
      <c r="M24" s="15"/>
      <c r="N24" s="20">
        <f t="shared" si="12"/>
        <v>1563400</v>
      </c>
      <c r="O24" s="24">
        <f>'4.sz.tábla'!D9</f>
        <v>1563400</v>
      </c>
      <c r="P24" s="11">
        <f t="shared" si="4"/>
        <v>0</v>
      </c>
      <c r="Q24" s="11"/>
    </row>
    <row r="25" spans="1:17" ht="25.5" x14ac:dyDescent="0.2">
      <c r="A25" s="33" t="s">
        <v>284</v>
      </c>
      <c r="B25" s="15">
        <v>0</v>
      </c>
      <c r="C25" s="15">
        <v>275000</v>
      </c>
      <c r="D25" s="15">
        <v>0</v>
      </c>
      <c r="E25" s="15">
        <v>3113063</v>
      </c>
      <c r="F25" s="15">
        <v>785900</v>
      </c>
      <c r="G25" s="15">
        <v>1828916</v>
      </c>
      <c r="H25" s="15">
        <v>785900</v>
      </c>
      <c r="I25" s="15">
        <f>3917601/5</f>
        <v>783520.2</v>
      </c>
      <c r="J25" s="15">
        <f t="shared" ref="J25:M25" si="15">3917601/5</f>
        <v>783520.2</v>
      </c>
      <c r="K25" s="15">
        <f t="shared" si="15"/>
        <v>783520.2</v>
      </c>
      <c r="L25" s="15">
        <f t="shared" si="15"/>
        <v>783520.2</v>
      </c>
      <c r="M25" s="15">
        <f t="shared" si="15"/>
        <v>783520.2</v>
      </c>
      <c r="N25" s="20">
        <f t="shared" si="12"/>
        <v>10706379.999999998</v>
      </c>
      <c r="O25" s="24">
        <f>'4.sz.tábla'!D3</f>
        <v>10706380</v>
      </c>
      <c r="P25" s="11">
        <f t="shared" si="4"/>
        <v>0</v>
      </c>
      <c r="Q25" s="11"/>
    </row>
    <row r="26" spans="1:17" x14ac:dyDescent="0.2">
      <c r="A26" s="33" t="s">
        <v>17</v>
      </c>
      <c r="B26" s="15">
        <v>15425222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0">
        <f t="shared" si="12"/>
        <v>15425222</v>
      </c>
      <c r="O26" s="24">
        <f>'1.sz.tábla '!D25</f>
        <v>15425222</v>
      </c>
      <c r="P26" s="11">
        <f t="shared" si="4"/>
        <v>0</v>
      </c>
      <c r="Q26" s="11"/>
    </row>
    <row r="27" spans="1:17" x14ac:dyDescent="0.2">
      <c r="A27" s="35" t="s">
        <v>207</v>
      </c>
      <c r="B27" s="16">
        <f>SUM(B20:B26)</f>
        <v>17116602</v>
      </c>
      <c r="C27" s="16">
        <f t="shared" ref="C27:M27" si="16">SUM(C20:C26)</f>
        <v>2787229</v>
      </c>
      <c r="D27" s="16">
        <f t="shared" si="16"/>
        <v>2985817</v>
      </c>
      <c r="E27" s="16">
        <f t="shared" si="16"/>
        <v>5367557</v>
      </c>
      <c r="F27" s="16">
        <f t="shared" si="16"/>
        <v>2587093</v>
      </c>
      <c r="G27" s="16">
        <f t="shared" si="16"/>
        <v>3849364</v>
      </c>
      <c r="H27" s="16">
        <f t="shared" si="16"/>
        <v>2718069</v>
      </c>
      <c r="I27" s="16">
        <f t="shared" si="16"/>
        <v>4555506.2</v>
      </c>
      <c r="J27" s="16">
        <f t="shared" si="16"/>
        <v>3712106.2</v>
      </c>
      <c r="K27" s="16">
        <f t="shared" si="16"/>
        <v>3907106.2</v>
      </c>
      <c r="L27" s="16">
        <f t="shared" si="16"/>
        <v>3712106.2</v>
      </c>
      <c r="M27" s="16">
        <f t="shared" si="16"/>
        <v>3712106.2</v>
      </c>
      <c r="N27" s="20">
        <f>SUM(B27:M27)</f>
        <v>57010662.000000015</v>
      </c>
      <c r="O27" s="3">
        <f>SUM(O20:O26)</f>
        <v>57010662</v>
      </c>
      <c r="P27" s="11">
        <f t="shared" si="4"/>
        <v>0</v>
      </c>
      <c r="Q27" s="11"/>
    </row>
    <row r="28" spans="1:17" x14ac:dyDescent="0.2">
      <c r="A28" s="33" t="s">
        <v>208</v>
      </c>
      <c r="B28" s="15">
        <v>255025</v>
      </c>
      <c r="C28" s="15">
        <v>0</v>
      </c>
      <c r="D28" s="15">
        <v>488000</v>
      </c>
      <c r="E28" s="15">
        <v>18000</v>
      </c>
      <c r="F28" s="15">
        <v>0</v>
      </c>
      <c r="G28" s="15">
        <v>20899</v>
      </c>
      <c r="H28" s="15">
        <f>11749076/6</f>
        <v>1958179.3333333333</v>
      </c>
      <c r="I28" s="15">
        <f>11749076/6+36000+46000</f>
        <v>2040179.3333333333</v>
      </c>
      <c r="J28" s="15">
        <f t="shared" ref="J28:M28" si="17">11749076/6</f>
        <v>1958179.3333333333</v>
      </c>
      <c r="K28" s="15">
        <f t="shared" si="17"/>
        <v>1958179.3333333333</v>
      </c>
      <c r="L28" s="15">
        <f t="shared" si="17"/>
        <v>1958179.3333333333</v>
      </c>
      <c r="M28" s="15">
        <f t="shared" si="17"/>
        <v>1958179.3333333333</v>
      </c>
      <c r="N28" s="20">
        <f>SUM(B28:M28)</f>
        <v>12613000</v>
      </c>
      <c r="O28" s="24">
        <f>'5. sz. tábla'!D3</f>
        <v>13663000</v>
      </c>
      <c r="P28" s="11">
        <f t="shared" si="4"/>
        <v>-1050000</v>
      </c>
      <c r="Q28" s="11"/>
    </row>
    <row r="29" spans="1:17" x14ac:dyDescent="0.2">
      <c r="A29" s="33" t="s">
        <v>209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10839597</v>
      </c>
      <c r="H29" s="15">
        <f>26097530/6</f>
        <v>4349588.333333333</v>
      </c>
      <c r="I29" s="15">
        <f t="shared" ref="I29:M29" si="18">26097530/6</f>
        <v>4349588.333333333</v>
      </c>
      <c r="J29" s="15">
        <f t="shared" si="18"/>
        <v>4349588.333333333</v>
      </c>
      <c r="K29" s="15">
        <f t="shared" si="18"/>
        <v>4349588.333333333</v>
      </c>
      <c r="L29" s="15">
        <f t="shared" si="18"/>
        <v>4349588.333333333</v>
      </c>
      <c r="M29" s="15">
        <f t="shared" si="18"/>
        <v>4349588.333333333</v>
      </c>
      <c r="N29" s="20">
        <f t="shared" si="12"/>
        <v>36937126.999999993</v>
      </c>
      <c r="O29" s="24">
        <f>'5. sz. tábla'!D23</f>
        <v>35887127</v>
      </c>
      <c r="P29" s="11">
        <f t="shared" si="4"/>
        <v>1049999.9999999925</v>
      </c>
      <c r="Q29" s="11"/>
    </row>
    <row r="30" spans="1:17" x14ac:dyDescent="0.2">
      <c r="A30" s="33" t="s">
        <v>267</v>
      </c>
      <c r="B30" s="15">
        <v>0</v>
      </c>
      <c r="C30" s="15">
        <v>0</v>
      </c>
      <c r="D30" s="15">
        <v>0</v>
      </c>
      <c r="E30" s="15">
        <v>31650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0">
        <f t="shared" si="12"/>
        <v>31650</v>
      </c>
      <c r="O30" s="24">
        <f>'5. sz. tábla'!D30</f>
        <v>31650</v>
      </c>
      <c r="P30" s="11">
        <f t="shared" si="4"/>
        <v>0</v>
      </c>
      <c r="Q30" s="11"/>
    </row>
    <row r="31" spans="1:17" ht="25.5" x14ac:dyDescent="0.2">
      <c r="A31" s="35" t="s">
        <v>210</v>
      </c>
      <c r="B31" s="16">
        <f>B28+B29+B30</f>
        <v>255025</v>
      </c>
      <c r="C31" s="16">
        <f t="shared" ref="C31:M31" si="19">SUM(C28:C30)</f>
        <v>0</v>
      </c>
      <c r="D31" s="16">
        <f t="shared" si="19"/>
        <v>488000</v>
      </c>
      <c r="E31" s="16">
        <f t="shared" si="19"/>
        <v>49650</v>
      </c>
      <c r="F31" s="16">
        <f t="shared" si="19"/>
        <v>0</v>
      </c>
      <c r="G31" s="16">
        <f t="shared" si="19"/>
        <v>10860496</v>
      </c>
      <c r="H31" s="16">
        <f t="shared" si="19"/>
        <v>6307767.666666666</v>
      </c>
      <c r="I31" s="16">
        <f t="shared" si="19"/>
        <v>6389767.666666666</v>
      </c>
      <c r="J31" s="16">
        <f t="shared" si="19"/>
        <v>6307767.666666666</v>
      </c>
      <c r="K31" s="16">
        <f t="shared" si="19"/>
        <v>6307767.666666666</v>
      </c>
      <c r="L31" s="16">
        <f t="shared" si="19"/>
        <v>6307767.666666666</v>
      </c>
      <c r="M31" s="16">
        <f t="shared" si="19"/>
        <v>6307767.666666666</v>
      </c>
      <c r="N31" s="20">
        <f t="shared" si="12"/>
        <v>49581776.999999985</v>
      </c>
      <c r="O31" s="3">
        <f>SUM(O28:O30)</f>
        <v>49581777</v>
      </c>
      <c r="P31" s="11">
        <f t="shared" si="4"/>
        <v>0</v>
      </c>
      <c r="Q31" s="11"/>
    </row>
    <row r="32" spans="1:17" x14ac:dyDescent="0.2">
      <c r="A32" s="34" t="s">
        <v>20</v>
      </c>
      <c r="B32" s="17">
        <f>SUM(B31,B27)</f>
        <v>17371627</v>
      </c>
      <c r="C32" s="17">
        <f t="shared" ref="C32:M32" si="20">SUM(C31,C27)</f>
        <v>2787229</v>
      </c>
      <c r="D32" s="17">
        <f t="shared" si="20"/>
        <v>3473817</v>
      </c>
      <c r="E32" s="17">
        <f t="shared" si="20"/>
        <v>5417207</v>
      </c>
      <c r="F32" s="17">
        <f t="shared" si="20"/>
        <v>2587093</v>
      </c>
      <c r="G32" s="17">
        <f t="shared" si="20"/>
        <v>14709860</v>
      </c>
      <c r="H32" s="17">
        <f t="shared" si="20"/>
        <v>9025836.666666666</v>
      </c>
      <c r="I32" s="17">
        <f t="shared" si="20"/>
        <v>10945273.866666667</v>
      </c>
      <c r="J32" s="17">
        <f t="shared" si="20"/>
        <v>10019873.866666667</v>
      </c>
      <c r="K32" s="17">
        <f t="shared" si="20"/>
        <v>10214873.866666667</v>
      </c>
      <c r="L32" s="17">
        <f t="shared" si="20"/>
        <v>10019873.866666667</v>
      </c>
      <c r="M32" s="17">
        <f t="shared" si="20"/>
        <v>10019873.866666667</v>
      </c>
      <c r="N32" s="20">
        <f>SUM(B32:M32)</f>
        <v>106592439.00000003</v>
      </c>
      <c r="O32" s="3">
        <f>O27+O31</f>
        <v>106592439</v>
      </c>
      <c r="P32" s="11">
        <f t="shared" si="4"/>
        <v>0</v>
      </c>
      <c r="Q32" s="11"/>
    </row>
    <row r="33" spans="1:17" ht="38.25" x14ac:dyDescent="0.2">
      <c r="A33" s="34" t="s">
        <v>211</v>
      </c>
      <c r="B33" s="17">
        <v>0</v>
      </c>
      <c r="C33" s="17">
        <v>0</v>
      </c>
      <c r="D33" s="17">
        <v>1317358</v>
      </c>
      <c r="E33" s="17">
        <v>63096</v>
      </c>
      <c r="F33" s="17">
        <v>72564</v>
      </c>
      <c r="G33" s="17">
        <v>72564</v>
      </c>
      <c r="H33" s="17">
        <v>72564</v>
      </c>
      <c r="I33" s="17">
        <f>469128/5</f>
        <v>93825.600000000006</v>
      </c>
      <c r="J33" s="17">
        <f t="shared" ref="J33:M33" si="21">469128/5</f>
        <v>93825.600000000006</v>
      </c>
      <c r="K33" s="17">
        <f t="shared" si="21"/>
        <v>93825.600000000006</v>
      </c>
      <c r="L33" s="17">
        <f t="shared" si="21"/>
        <v>93825.600000000006</v>
      </c>
      <c r="M33" s="17">
        <f t="shared" si="21"/>
        <v>93825.600000000006</v>
      </c>
      <c r="N33" s="20">
        <f t="shared" si="12"/>
        <v>2067274.0000000005</v>
      </c>
      <c r="O33" s="24">
        <f>'5. sz. tábla'!D32</f>
        <v>2067274</v>
      </c>
      <c r="P33" s="11">
        <f t="shared" si="4"/>
        <v>0</v>
      </c>
      <c r="Q33" s="11"/>
    </row>
    <row r="34" spans="1:17" x14ac:dyDescent="0.2">
      <c r="A34" s="34" t="s">
        <v>22</v>
      </c>
      <c r="B34" s="17">
        <f>SUM(B32:B33)</f>
        <v>17371627</v>
      </c>
      <c r="C34" s="17">
        <f t="shared" ref="C34:M34" si="22">SUM(C32:C33)</f>
        <v>2787229</v>
      </c>
      <c r="D34" s="17">
        <f t="shared" si="22"/>
        <v>4791175</v>
      </c>
      <c r="E34" s="17">
        <f t="shared" si="22"/>
        <v>5480303</v>
      </c>
      <c r="F34" s="17">
        <f t="shared" si="22"/>
        <v>2659657</v>
      </c>
      <c r="G34" s="17">
        <f t="shared" si="22"/>
        <v>14782424</v>
      </c>
      <c r="H34" s="17">
        <f t="shared" si="22"/>
        <v>9098400.666666666</v>
      </c>
      <c r="I34" s="17">
        <f t="shared" si="22"/>
        <v>11039099.466666667</v>
      </c>
      <c r="J34" s="17">
        <f t="shared" si="22"/>
        <v>10113699.466666667</v>
      </c>
      <c r="K34" s="17">
        <f t="shared" si="22"/>
        <v>10308699.466666667</v>
      </c>
      <c r="L34" s="17">
        <f t="shared" si="22"/>
        <v>10113699.466666667</v>
      </c>
      <c r="M34" s="17">
        <f t="shared" si="22"/>
        <v>10113699.466666667</v>
      </c>
      <c r="N34" s="20">
        <f>SUM(B34:M34)</f>
        <v>108659713</v>
      </c>
      <c r="O34" s="3">
        <f>O32+O33</f>
        <v>108659713</v>
      </c>
      <c r="P34" s="11">
        <f t="shared" si="4"/>
        <v>0</v>
      </c>
      <c r="Q34" s="11"/>
    </row>
    <row r="35" spans="1:17" x14ac:dyDescent="0.2">
      <c r="A35" s="34" t="s">
        <v>285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0">
        <f>SUM(B35:M35)</f>
        <v>0</v>
      </c>
    </row>
    <row r="36" spans="1:17" ht="13.5" thickBot="1" x14ac:dyDescent="0.25">
      <c r="A36" s="36" t="s">
        <v>212</v>
      </c>
      <c r="B36" s="21">
        <f>B6+B16+B17-B34</f>
        <v>19174077</v>
      </c>
      <c r="C36" s="21">
        <f t="shared" ref="C36:N36" si="23">C6+C16+C17-C34</f>
        <v>19051293</v>
      </c>
      <c r="D36" s="21">
        <f t="shared" si="23"/>
        <v>23131875</v>
      </c>
      <c r="E36" s="21">
        <f t="shared" si="23"/>
        <v>20119925</v>
      </c>
      <c r="F36" s="21">
        <f t="shared" si="23"/>
        <v>21948864</v>
      </c>
      <c r="G36" s="21">
        <f t="shared" si="23"/>
        <v>23243717.571428567</v>
      </c>
      <c r="H36" s="21">
        <f t="shared" si="23"/>
        <v>19083897.47619047</v>
      </c>
      <c r="I36" s="21">
        <f t="shared" si="23"/>
        <v>26102014.330952376</v>
      </c>
      <c r="J36" s="21">
        <f t="shared" si="23"/>
        <v>20566067.435714282</v>
      </c>
      <c r="K36" s="21">
        <f t="shared" si="23"/>
        <v>13648593.540476186</v>
      </c>
      <c r="L36" s="21">
        <f t="shared" si="23"/>
        <v>6926119.6452380922</v>
      </c>
      <c r="M36" s="21">
        <f t="shared" si="23"/>
        <v>203644.74999999627</v>
      </c>
      <c r="N36" s="31">
        <f t="shared" si="23"/>
        <v>203644.7499999851</v>
      </c>
      <c r="O36" s="11"/>
    </row>
    <row r="38" spans="1:17" x14ac:dyDescent="0.2">
      <c r="N38" s="3"/>
    </row>
  </sheetData>
  <mergeCells count="2">
    <mergeCell ref="M2:N2"/>
    <mergeCell ref="A3:N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r:id="rId1"/>
  <headerFooter>
    <oddHeader>&amp;C8. melléklet a ….../2017. (…...) önkormányzati rendelet tervezethez
Az önkormányzat 2017. évi költségvetéséről szóló 2/2017. (II.17.) önkormányzati rendelet 8. mellékletének helyébe a következő 8. melléklet lép: &amp;R1.oldal
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1.sz.tábla </vt:lpstr>
      <vt:lpstr>2.sz.tábla</vt:lpstr>
      <vt:lpstr>2a. tábla</vt:lpstr>
      <vt:lpstr>3.sz.tábla </vt:lpstr>
      <vt:lpstr>4.sz.tábla</vt:lpstr>
      <vt:lpstr>5. sz. tábla</vt:lpstr>
      <vt:lpstr>6. sz. tábla </vt:lpstr>
      <vt:lpstr>7. sz. tábla</vt:lpstr>
      <vt:lpstr>8.sz.tábla</vt:lpstr>
      <vt:lpstr>Munka1</vt:lpstr>
      <vt:lpstr>'2.sz.tábla'!Nyomtatási_cím</vt:lpstr>
      <vt:lpstr>'1.sz.tábla '!Nyomtatási_terület</vt:lpstr>
      <vt:lpstr>'2.sz.tábla'!Nyomtatási_terület</vt:lpstr>
      <vt:lpstr>'3.sz.tábla '!Nyomtatási_terület</vt:lpstr>
      <vt:lpstr>'5. sz. tábla'!Nyomtatási_terület</vt:lpstr>
      <vt:lpstr>'6. sz. tábla '!Nyomtatási_terület</vt:lpstr>
      <vt:lpstr>'7. sz. tábla'!Nyomtatási_terület</vt:lpstr>
      <vt:lpstr>'8.sz.tábla'!Nyomtatási_terület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Magyari Zsuzsa</cp:lastModifiedBy>
  <cp:lastPrinted>2017-08-28T06:20:53Z</cp:lastPrinted>
  <dcterms:created xsi:type="dcterms:W3CDTF">2014-05-27T12:51:39Z</dcterms:created>
  <dcterms:modified xsi:type="dcterms:W3CDTF">2017-08-31T07:20:03Z</dcterms:modified>
</cp:coreProperties>
</file>