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75" yWindow="270" windowWidth="19425" windowHeight="6030"/>
  </bookViews>
  <sheets>
    <sheet name="1.tábla " sheetId="42" r:id="rId1"/>
    <sheet name="2.tábla" sheetId="41" r:id="rId2"/>
    <sheet name="2a. tábla" sheetId="82" r:id="rId3"/>
    <sheet name="3.tábla " sheetId="40" r:id="rId4"/>
    <sheet name="4.tábla" sheetId="83" r:id="rId5"/>
    <sheet name="5.tábla" sheetId="50" r:id="rId6"/>
    <sheet name="6.tábla " sheetId="51" r:id="rId7"/>
    <sheet name="7.tábla" sheetId="62" r:id="rId8"/>
    <sheet name="8.tábla" sheetId="67" r:id="rId9"/>
  </sheets>
  <externalReferences>
    <externalReference r:id="rId10"/>
  </externalReferences>
  <definedNames>
    <definedName name="_xlnm.Print_Titles" localSheetId="1">'2.tábla'!$4:$4</definedName>
    <definedName name="_xlnm.Print_Area" localSheetId="0">'1.tábla '!$A$5:$G$35</definedName>
    <definedName name="_xlnm.Print_Area" localSheetId="1">'2.tábla'!$A$4:$G$81</definedName>
    <definedName name="_xlnm.Print_Area" localSheetId="3">'3.tábla '!$A$4:$G$38</definedName>
    <definedName name="_xlnm.Print_Area" localSheetId="5">'5.tábla'!$A$1:$G$38</definedName>
    <definedName name="_xlnm.Print_Area" localSheetId="6">'6.tábla '!$A$1:$N$59</definedName>
    <definedName name="_xlnm.Print_Area" localSheetId="7">'7.tábla'!$A$1:$N$83</definedName>
    <definedName name="_xlnm.Print_Area" localSheetId="8">'8.tábla'!$A$3:$N$36</definedName>
    <definedName name="onev">[1]kod!$BT$34:$BT$3186</definedName>
  </definedNames>
  <calcPr calcId="144525"/>
</workbook>
</file>

<file path=xl/calcChain.xml><?xml version="1.0" encoding="utf-8"?>
<calcChain xmlns="http://schemas.openxmlformats.org/spreadsheetml/2006/main">
  <c r="G27" i="42" l="1"/>
  <c r="F83" i="62"/>
  <c r="M83" i="62"/>
  <c r="F27" i="42" l="1"/>
  <c r="F10" i="41"/>
  <c r="I36" i="82"/>
  <c r="G12" i="42"/>
  <c r="G9" i="42"/>
  <c r="G8" i="42"/>
  <c r="G7" i="42"/>
  <c r="F76" i="41"/>
  <c r="G26" i="42" l="1"/>
  <c r="G34" i="42"/>
  <c r="G30" i="42"/>
  <c r="G35" i="42" s="1"/>
  <c r="F28" i="42"/>
  <c r="F28" i="40"/>
  <c r="F7" i="40"/>
  <c r="F6" i="40"/>
  <c r="M27" i="62" l="1"/>
  <c r="M25" i="62"/>
  <c r="M21" i="62"/>
  <c r="M20" i="62"/>
  <c r="M18" i="62"/>
  <c r="N18" i="62" s="1"/>
  <c r="M15" i="62"/>
  <c r="M11" i="62"/>
  <c r="M10" i="62"/>
  <c r="M9" i="62"/>
  <c r="M7" i="62"/>
  <c r="M6" i="62"/>
  <c r="N6" i="62"/>
  <c r="N7" i="62"/>
  <c r="N9" i="62"/>
  <c r="N10" i="62"/>
  <c r="N11" i="62"/>
  <c r="N15" i="62"/>
  <c r="N17" i="62"/>
  <c r="N19" i="62"/>
  <c r="N20" i="62"/>
  <c r="N21" i="62"/>
  <c r="N22" i="62"/>
  <c r="N23" i="62"/>
  <c r="N24" i="62"/>
  <c r="N25" i="62"/>
  <c r="N26" i="62"/>
  <c r="N27" i="62"/>
  <c r="N3" i="62"/>
  <c r="F25" i="62"/>
  <c r="F20" i="62"/>
  <c r="F18" i="62"/>
  <c r="F15" i="62"/>
  <c r="F6" i="62"/>
  <c r="F5" i="62"/>
  <c r="G8" i="62"/>
  <c r="G9" i="62"/>
  <c r="G10" i="62"/>
  <c r="G11" i="62"/>
  <c r="G12" i="62"/>
  <c r="G13" i="62"/>
  <c r="G17" i="62"/>
  <c r="G19" i="62"/>
  <c r="G21" i="62"/>
  <c r="G22" i="62"/>
  <c r="G23" i="62"/>
  <c r="G24" i="62"/>
  <c r="N50" i="51"/>
  <c r="N53" i="51"/>
  <c r="N54" i="51"/>
  <c r="N55" i="51"/>
  <c r="N56" i="51"/>
  <c r="N57" i="51"/>
  <c r="N58" i="51"/>
  <c r="N38" i="51"/>
  <c r="N39" i="51"/>
  <c r="N40" i="51"/>
  <c r="N41" i="51"/>
  <c r="N42" i="51"/>
  <c r="N43" i="51"/>
  <c r="N29" i="51"/>
  <c r="N30" i="51"/>
  <c r="N31" i="51"/>
  <c r="N32" i="51"/>
  <c r="N33" i="51"/>
  <c r="N34" i="51"/>
  <c r="N35" i="51"/>
  <c r="N36" i="51"/>
  <c r="N37" i="51"/>
  <c r="N28" i="51"/>
  <c r="M54" i="51"/>
  <c r="M53" i="51"/>
  <c r="M50" i="51"/>
  <c r="M43" i="51"/>
  <c r="M37" i="51"/>
  <c r="M36" i="51"/>
  <c r="M33" i="51"/>
  <c r="M31" i="51" s="1"/>
  <c r="M30" i="51"/>
  <c r="M28" i="51"/>
  <c r="M18" i="51"/>
  <c r="M17" i="51" s="1"/>
  <c r="M13" i="51"/>
  <c r="M12" i="62" s="1"/>
  <c r="N12" i="62" s="1"/>
  <c r="M12" i="51"/>
  <c r="M11" i="51"/>
  <c r="M8" i="51"/>
  <c r="M7" i="51"/>
  <c r="M6" i="51"/>
  <c r="M5" i="62" s="1"/>
  <c r="N5" i="62" s="1"/>
  <c r="M5" i="51"/>
  <c r="N10" i="51"/>
  <c r="N19" i="51"/>
  <c r="N20" i="51"/>
  <c r="N21" i="51"/>
  <c r="N22" i="51"/>
  <c r="F55" i="51"/>
  <c r="G52" i="51"/>
  <c r="F30" i="51"/>
  <c r="F29" i="51"/>
  <c r="G31" i="51"/>
  <c r="G32" i="51"/>
  <c r="G33" i="51"/>
  <c r="G34" i="51"/>
  <c r="G35" i="51"/>
  <c r="G37" i="51"/>
  <c r="G38" i="51"/>
  <c r="G39" i="51"/>
  <c r="G40" i="51"/>
  <c r="G41" i="51"/>
  <c r="G42" i="51"/>
  <c r="F28" i="51"/>
  <c r="F36" i="51" s="1"/>
  <c r="F22" i="51"/>
  <c r="F19" i="51" s="1"/>
  <c r="F26" i="62" s="1"/>
  <c r="F27" i="62" s="1"/>
  <c r="F18" i="51"/>
  <c r="F17" i="51" s="1"/>
  <c r="F54" i="51" s="1"/>
  <c r="G8" i="51"/>
  <c r="G9" i="51"/>
  <c r="G10" i="51"/>
  <c r="G11" i="51"/>
  <c r="G12" i="51"/>
  <c r="G13" i="51"/>
  <c r="G14" i="51"/>
  <c r="G16" i="51"/>
  <c r="G20" i="51"/>
  <c r="G21" i="51"/>
  <c r="F7" i="51"/>
  <c r="F6" i="51"/>
  <c r="F34" i="42"/>
  <c r="F33" i="42"/>
  <c r="F26" i="42"/>
  <c r="M14" i="51" s="1"/>
  <c r="M13" i="62" s="1"/>
  <c r="N13" i="62" s="1"/>
  <c r="F24" i="42"/>
  <c r="F23" i="42"/>
  <c r="F22" i="42"/>
  <c r="F14" i="42"/>
  <c r="F12" i="42"/>
  <c r="F9" i="42"/>
  <c r="F8" i="42"/>
  <c r="F7" i="42"/>
  <c r="G10" i="42"/>
  <c r="G14" i="42"/>
  <c r="G18" i="42"/>
  <c r="G22" i="42"/>
  <c r="G23" i="42"/>
  <c r="G24" i="42"/>
  <c r="G25" i="42"/>
  <c r="G28" i="42"/>
  <c r="G29" i="42"/>
  <c r="G31" i="42"/>
  <c r="G32" i="42"/>
  <c r="G33" i="42"/>
  <c r="F74" i="41"/>
  <c r="F15" i="42" s="1"/>
  <c r="F71" i="41"/>
  <c r="F68" i="41"/>
  <c r="F65" i="41" s="1"/>
  <c r="F52" i="41"/>
  <c r="F48" i="41"/>
  <c r="F43" i="41" s="1"/>
  <c r="F38" i="41"/>
  <c r="F35" i="41"/>
  <c r="F31" i="41"/>
  <c r="F22" i="41"/>
  <c r="F21" i="41" s="1"/>
  <c r="F17" i="41"/>
  <c r="F16" i="41" s="1"/>
  <c r="G10" i="41"/>
  <c r="G11" i="41"/>
  <c r="G12" i="41"/>
  <c r="G13" i="41"/>
  <c r="G14" i="41"/>
  <c r="G15" i="41"/>
  <c r="G18" i="41"/>
  <c r="G19" i="41"/>
  <c r="G20" i="41"/>
  <c r="G23" i="41"/>
  <c r="G24" i="41"/>
  <c r="G25" i="41"/>
  <c r="G26" i="41"/>
  <c r="G27" i="41"/>
  <c r="G28" i="41"/>
  <c r="G29" i="41"/>
  <c r="G32" i="41"/>
  <c r="G33" i="41"/>
  <c r="G36" i="41"/>
  <c r="G37" i="41"/>
  <c r="G39" i="41"/>
  <c r="G40" i="41"/>
  <c r="G41" i="41"/>
  <c r="G42" i="41"/>
  <c r="G44" i="41"/>
  <c r="G45" i="41"/>
  <c r="G46" i="41"/>
  <c r="G47" i="41"/>
  <c r="G49" i="41"/>
  <c r="G50" i="41"/>
  <c r="G51" i="41"/>
  <c r="G53" i="41"/>
  <c r="G54" i="41"/>
  <c r="G55" i="41"/>
  <c r="G57" i="41"/>
  <c r="G58" i="41"/>
  <c r="G59" i="41"/>
  <c r="G60" i="41"/>
  <c r="G62" i="41"/>
  <c r="G63" i="41"/>
  <c r="G64" i="41"/>
  <c r="G66" i="41"/>
  <c r="G67" i="41"/>
  <c r="G69" i="41"/>
  <c r="G72" i="41"/>
  <c r="G73" i="41"/>
  <c r="G75" i="41"/>
  <c r="G77" i="41"/>
  <c r="I43" i="82"/>
  <c r="F9" i="41" s="1"/>
  <c r="I41" i="82"/>
  <c r="I37" i="82"/>
  <c r="I34" i="82"/>
  <c r="I22" i="82"/>
  <c r="I19" i="82"/>
  <c r="I10" i="82"/>
  <c r="J9" i="82"/>
  <c r="J11" i="82"/>
  <c r="J12" i="82"/>
  <c r="J13" i="82"/>
  <c r="J14" i="82"/>
  <c r="J15" i="82"/>
  <c r="J16" i="82"/>
  <c r="J17" i="82"/>
  <c r="J18" i="82"/>
  <c r="J20" i="82"/>
  <c r="J21" i="82"/>
  <c r="J23" i="82"/>
  <c r="J24" i="82"/>
  <c r="J25" i="82"/>
  <c r="J26" i="82"/>
  <c r="J27" i="82"/>
  <c r="J28" i="82"/>
  <c r="J29" i="82"/>
  <c r="J30" i="82"/>
  <c r="J31" i="82"/>
  <c r="J32" i="82"/>
  <c r="J35" i="82"/>
  <c r="J36" i="82"/>
  <c r="J38" i="82"/>
  <c r="J39" i="82"/>
  <c r="J40" i="82"/>
  <c r="J42" i="82"/>
  <c r="J44" i="82"/>
  <c r="J45" i="82"/>
  <c r="F38" i="40"/>
  <c r="G38" i="40" s="1"/>
  <c r="F36" i="40"/>
  <c r="F33" i="40"/>
  <c r="F26" i="40"/>
  <c r="F23" i="40"/>
  <c r="F22" i="40"/>
  <c r="F21" i="40"/>
  <c r="G21" i="40" s="1"/>
  <c r="F19" i="40"/>
  <c r="F18" i="40"/>
  <c r="F17" i="40"/>
  <c r="G17" i="40" s="1"/>
  <c r="F16" i="40"/>
  <c r="F15" i="40"/>
  <c r="F11" i="40"/>
  <c r="F10" i="40"/>
  <c r="G9" i="40"/>
  <c r="G10" i="40"/>
  <c r="G11" i="40"/>
  <c r="G12" i="40"/>
  <c r="G13" i="40"/>
  <c r="G14" i="40"/>
  <c r="G16" i="40"/>
  <c r="G18" i="40"/>
  <c r="G19" i="40"/>
  <c r="G20" i="40"/>
  <c r="G22" i="40"/>
  <c r="G23" i="40"/>
  <c r="G24" i="40"/>
  <c r="G25" i="40"/>
  <c r="G26" i="40"/>
  <c r="G27" i="40"/>
  <c r="G29" i="40"/>
  <c r="G30" i="40"/>
  <c r="G31" i="40"/>
  <c r="G32" i="40"/>
  <c r="G33" i="40"/>
  <c r="G34" i="40"/>
  <c r="G35" i="40"/>
  <c r="G36" i="40"/>
  <c r="G37" i="40"/>
  <c r="F24" i="83"/>
  <c r="F9" i="83"/>
  <c r="G4" i="83"/>
  <c r="G5" i="83"/>
  <c r="G6" i="83"/>
  <c r="G7" i="83"/>
  <c r="G8" i="83"/>
  <c r="G10" i="83"/>
  <c r="G11" i="83"/>
  <c r="G12" i="83"/>
  <c r="G13" i="83"/>
  <c r="G14" i="83"/>
  <c r="G15" i="83"/>
  <c r="G16" i="83"/>
  <c r="G17" i="83"/>
  <c r="G18" i="83"/>
  <c r="G19" i="83"/>
  <c r="G20" i="83"/>
  <c r="G21" i="83"/>
  <c r="G22" i="83"/>
  <c r="G23" i="83"/>
  <c r="F3" i="83"/>
  <c r="F38" i="50"/>
  <c r="F37" i="50"/>
  <c r="F34" i="50" s="1"/>
  <c r="F32" i="50"/>
  <c r="F31" i="50"/>
  <c r="F23" i="50" s="1"/>
  <c r="F22" i="50" s="1"/>
  <c r="F15" i="50"/>
  <c r="F6" i="50"/>
  <c r="G5" i="50"/>
  <c r="G7" i="50"/>
  <c r="G8" i="50"/>
  <c r="G9" i="50"/>
  <c r="G10" i="50"/>
  <c r="G11" i="50"/>
  <c r="G12" i="50"/>
  <c r="G13" i="50"/>
  <c r="G14" i="50"/>
  <c r="G16" i="50"/>
  <c r="G17" i="50"/>
  <c r="G18" i="50"/>
  <c r="G19" i="50"/>
  <c r="G20" i="50"/>
  <c r="G21" i="50"/>
  <c r="G24" i="50"/>
  <c r="G25" i="50"/>
  <c r="G26" i="50"/>
  <c r="G27" i="50"/>
  <c r="G28" i="50"/>
  <c r="G29" i="50"/>
  <c r="G30" i="50"/>
  <c r="G33" i="50"/>
  <c r="G35" i="50"/>
  <c r="G36" i="50"/>
  <c r="F4" i="50"/>
  <c r="G15" i="42" l="1"/>
  <c r="F16" i="42"/>
  <c r="F78" i="41"/>
  <c r="F20" i="42"/>
  <c r="M4" i="62"/>
  <c r="M8" i="62"/>
  <c r="N8" i="62" s="1"/>
  <c r="F53" i="51"/>
  <c r="F50" i="51"/>
  <c r="F43" i="51"/>
  <c r="F57" i="51"/>
  <c r="M9" i="51"/>
  <c r="M15" i="51" s="1"/>
  <c r="M49" i="51" s="1"/>
  <c r="F21" i="42"/>
  <c r="G21" i="42" s="1"/>
  <c r="F34" i="41"/>
  <c r="F30" i="41" s="1"/>
  <c r="I33" i="82"/>
  <c r="G28" i="40"/>
  <c r="F8" i="40"/>
  <c r="G8" i="40" s="1"/>
  <c r="G15" i="40"/>
  <c r="F3" i="50"/>
  <c r="K9" i="62"/>
  <c r="L9" i="62"/>
  <c r="F8" i="41" l="1"/>
  <c r="G16" i="42"/>
  <c r="M23" i="51"/>
  <c r="F19" i="42"/>
  <c r="F30" i="42" s="1"/>
  <c r="F35" i="42" s="1"/>
  <c r="N4" i="62"/>
  <c r="M14" i="62"/>
  <c r="M51" i="51"/>
  <c r="N49" i="51"/>
  <c r="F56" i="51"/>
  <c r="E21" i="40"/>
  <c r="E27" i="42"/>
  <c r="M16" i="62" l="1"/>
  <c r="N14" i="62"/>
  <c r="N51" i="51"/>
  <c r="M59" i="51"/>
  <c r="N59" i="51" s="1"/>
  <c r="M28" i="62" l="1"/>
  <c r="N28" i="62" s="1"/>
  <c r="N16" i="62"/>
  <c r="E7" i="40" l="1"/>
  <c r="E6" i="40"/>
  <c r="E23" i="40" l="1"/>
  <c r="E18" i="40"/>
  <c r="E26" i="42"/>
  <c r="E10" i="40"/>
  <c r="E7" i="62"/>
  <c r="G7" i="62" s="1"/>
  <c r="E76" i="41"/>
  <c r="G76" i="41" s="1"/>
  <c r="E71" i="41"/>
  <c r="G71" i="41" s="1"/>
  <c r="E68" i="41"/>
  <c r="D61" i="41"/>
  <c r="E61" i="41"/>
  <c r="G61" i="41" s="1"/>
  <c r="E56" i="41"/>
  <c r="G56" i="41" s="1"/>
  <c r="E52" i="41"/>
  <c r="G52" i="41" s="1"/>
  <c r="E48" i="41"/>
  <c r="G48" i="41" s="1"/>
  <c r="E38" i="41"/>
  <c r="G38" i="41" s="1"/>
  <c r="E35" i="41"/>
  <c r="G35" i="41" s="1"/>
  <c r="E31" i="41"/>
  <c r="G31" i="41" s="1"/>
  <c r="E22" i="41"/>
  <c r="E17" i="41"/>
  <c r="G17" i="41" s="1"/>
  <c r="H43" i="82"/>
  <c r="J43" i="82" s="1"/>
  <c r="H41" i="82"/>
  <c r="J41" i="82" s="1"/>
  <c r="H37" i="82"/>
  <c r="J37" i="82" s="1"/>
  <c r="H34" i="82"/>
  <c r="J34" i="82" s="1"/>
  <c r="H22" i="82"/>
  <c r="J22" i="82" s="1"/>
  <c r="H19" i="82"/>
  <c r="J19" i="82" s="1"/>
  <c r="H10" i="82"/>
  <c r="J10" i="82" s="1"/>
  <c r="E26" i="40"/>
  <c r="E22" i="40"/>
  <c r="E19" i="40"/>
  <c r="E17" i="40"/>
  <c r="E16" i="40"/>
  <c r="E15" i="40"/>
  <c r="E11" i="40"/>
  <c r="E9" i="83"/>
  <c r="G9" i="83" s="1"/>
  <c r="E3" i="83"/>
  <c r="G3" i="83" s="1"/>
  <c r="E37" i="50"/>
  <c r="E32" i="50"/>
  <c r="G32" i="50" s="1"/>
  <c r="E31" i="50"/>
  <c r="G31" i="50" s="1"/>
  <c r="E15" i="50"/>
  <c r="G15" i="50" s="1"/>
  <c r="E6" i="50"/>
  <c r="G6" i="50" s="1"/>
  <c r="E4" i="50"/>
  <c r="G4" i="50" s="1"/>
  <c r="D15" i="50"/>
  <c r="E21" i="41" l="1"/>
  <c r="G22" i="41"/>
  <c r="E43" i="41"/>
  <c r="G43" i="41" s="1"/>
  <c r="E65" i="41"/>
  <c r="G65" i="41" s="1"/>
  <c r="G68" i="41"/>
  <c r="E74" i="41"/>
  <c r="E16" i="41"/>
  <c r="G16" i="41" s="1"/>
  <c r="E9" i="41"/>
  <c r="G9" i="41" s="1"/>
  <c r="E33" i="40"/>
  <c r="E36" i="40"/>
  <c r="E28" i="40" s="1"/>
  <c r="E23" i="50"/>
  <c r="E34" i="50"/>
  <c r="G34" i="50" s="1"/>
  <c r="G37" i="50"/>
  <c r="E34" i="41"/>
  <c r="H33" i="82"/>
  <c r="G74" i="41" l="1"/>
  <c r="E78" i="41"/>
  <c r="G78" i="41" s="1"/>
  <c r="E30" i="41"/>
  <c r="G30" i="41" s="1"/>
  <c r="G34" i="41"/>
  <c r="E7" i="42"/>
  <c r="E18" i="62" s="1"/>
  <c r="G18" i="62" s="1"/>
  <c r="G21" i="41"/>
  <c r="J33" i="82"/>
  <c r="E8" i="41"/>
  <c r="G8" i="41" s="1"/>
  <c r="E22" i="50"/>
  <c r="G22" i="50" s="1"/>
  <c r="G23" i="50"/>
  <c r="L55" i="51"/>
  <c r="E58" i="51"/>
  <c r="G58" i="51" s="1"/>
  <c r="E55" i="51"/>
  <c r="G55" i="51" s="1"/>
  <c r="L33" i="51"/>
  <c r="L31" i="51" s="1"/>
  <c r="L21" i="62" s="1"/>
  <c r="E30" i="51"/>
  <c r="E29" i="51"/>
  <c r="G29" i="51" s="1"/>
  <c r="E28" i="51"/>
  <c r="G28" i="51" s="1"/>
  <c r="L18" i="51"/>
  <c r="L13" i="51"/>
  <c r="L12" i="51"/>
  <c r="L11" i="51"/>
  <c r="L8" i="51"/>
  <c r="L6" i="51"/>
  <c r="L5" i="51"/>
  <c r="N24" i="51"/>
  <c r="E22" i="51"/>
  <c r="E18" i="51"/>
  <c r="D18" i="51"/>
  <c r="D17" i="51" s="1"/>
  <c r="D20" i="51"/>
  <c r="E33" i="42"/>
  <c r="L14" i="51"/>
  <c r="E15" i="42"/>
  <c r="E14" i="42"/>
  <c r="E12" i="42"/>
  <c r="E9" i="42"/>
  <c r="E8" i="42"/>
  <c r="E8" i="40"/>
  <c r="E24" i="83"/>
  <c r="G24" i="83" s="1"/>
  <c r="E3" i="50"/>
  <c r="E38" i="50" s="1"/>
  <c r="G38" i="50" s="1"/>
  <c r="L13" i="62" l="1"/>
  <c r="N14" i="51"/>
  <c r="E17" i="51"/>
  <c r="G18" i="51"/>
  <c r="L5" i="62"/>
  <c r="N6" i="51"/>
  <c r="L10" i="62"/>
  <c r="N11" i="51"/>
  <c r="L12" i="62"/>
  <c r="N13" i="51"/>
  <c r="E20" i="62"/>
  <c r="G20" i="62" s="1"/>
  <c r="G30" i="51"/>
  <c r="E19" i="51"/>
  <c r="G19" i="51" s="1"/>
  <c r="G22" i="51"/>
  <c r="L4" i="62"/>
  <c r="N5" i="51"/>
  <c r="L7" i="62"/>
  <c r="N8" i="51"/>
  <c r="L11" i="62"/>
  <c r="L8" i="62" s="1"/>
  <c r="N12" i="51"/>
  <c r="L17" i="51"/>
  <c r="N17" i="51" s="1"/>
  <c r="N18" i="51"/>
  <c r="L54" i="51"/>
  <c r="L53" i="51" s="1"/>
  <c r="E7" i="51"/>
  <c r="E34" i="42"/>
  <c r="E57" i="51"/>
  <c r="G57" i="51" s="1"/>
  <c r="E26" i="62"/>
  <c r="G26" i="62" s="1"/>
  <c r="E25" i="62"/>
  <c r="G25" i="62" s="1"/>
  <c r="L7" i="51"/>
  <c r="E38" i="40"/>
  <c r="E56" i="51"/>
  <c r="G56" i="51" s="1"/>
  <c r="E16" i="42"/>
  <c r="E36" i="51"/>
  <c r="G36" i="51" s="1"/>
  <c r="E6" i="51"/>
  <c r="E43" i="51"/>
  <c r="G43" i="51" s="1"/>
  <c r="E50" i="51"/>
  <c r="G50" i="51" s="1"/>
  <c r="E22" i="42"/>
  <c r="E24" i="42"/>
  <c r="L28" i="51"/>
  <c r="L18" i="62" s="1"/>
  <c r="E23" i="42"/>
  <c r="L30" i="51"/>
  <c r="L20" i="62" s="1"/>
  <c r="L9" i="51"/>
  <c r="N9" i="51" s="1"/>
  <c r="E5" i="62" l="1"/>
  <c r="G5" i="62" s="1"/>
  <c r="G6" i="51"/>
  <c r="L6" i="62"/>
  <c r="L14" i="62" s="1"/>
  <c r="N7" i="51"/>
  <c r="E54" i="51"/>
  <c r="G17" i="51"/>
  <c r="E6" i="62"/>
  <c r="G6" i="62" s="1"/>
  <c r="G7" i="51"/>
  <c r="L15" i="62"/>
  <c r="L16" i="62" s="1"/>
  <c r="L25" i="62"/>
  <c r="L15" i="51"/>
  <c r="E27" i="62"/>
  <c r="G27" i="62" s="1"/>
  <c r="L36" i="51"/>
  <c r="L37" i="51" s="1"/>
  <c r="E21" i="42"/>
  <c r="E20" i="42"/>
  <c r="D10" i="40"/>
  <c r="D27" i="42"/>
  <c r="D37" i="50"/>
  <c r="D76" i="41"/>
  <c r="D7" i="40"/>
  <c r="D6" i="40"/>
  <c r="D17" i="41"/>
  <c r="D16" i="41" s="1"/>
  <c r="L23" i="51" l="1"/>
  <c r="N23" i="51" s="1"/>
  <c r="N15" i="51"/>
  <c r="G54" i="51"/>
  <c r="E53" i="51"/>
  <c r="L27" i="62"/>
  <c r="L49" i="51"/>
  <c r="L43" i="51"/>
  <c r="L50" i="51"/>
  <c r="L51" i="51" s="1"/>
  <c r="L59" i="51" s="1"/>
  <c r="E19" i="42"/>
  <c r="D19" i="40"/>
  <c r="G53" i="51" l="1"/>
  <c r="E15" i="62"/>
  <c r="G15" i="62" s="1"/>
  <c r="L83" i="62"/>
  <c r="L28" i="62"/>
  <c r="E30" i="42"/>
  <c r="D68" i="41"/>
  <c r="E35" i="42" l="1"/>
  <c r="D18" i="40"/>
  <c r="D11" i="40" l="1"/>
  <c r="D16" i="40" l="1"/>
  <c r="D15" i="40"/>
  <c r="N41" i="62" l="1"/>
  <c r="N43" i="62"/>
  <c r="N40" i="62"/>
  <c r="K42" i="62"/>
  <c r="D7" i="62"/>
  <c r="K13" i="51"/>
  <c r="J13" i="51"/>
  <c r="J12" i="62" s="1"/>
  <c r="K44" i="62" l="1"/>
  <c r="K12" i="62"/>
  <c r="D58" i="51"/>
  <c r="D55" i="51"/>
  <c r="K38" i="51"/>
  <c r="K33" i="51"/>
  <c r="K18" i="51"/>
  <c r="K6" i="51"/>
  <c r="K5" i="51"/>
  <c r="D22" i="51"/>
  <c r="K55" i="51" l="1"/>
  <c r="D19" i="51"/>
  <c r="K31" i="51"/>
  <c r="K17" i="51"/>
  <c r="K5" i="62"/>
  <c r="K4" i="62"/>
  <c r="K21" i="62" l="1"/>
  <c r="K15" i="62"/>
  <c r="K54" i="51"/>
  <c r="D26" i="62"/>
  <c r="D57" i="51"/>
  <c r="D54" i="51"/>
  <c r="K53" i="51" l="1"/>
  <c r="D53" i="51"/>
  <c r="D56" i="51"/>
  <c r="D6" i="50"/>
  <c r="C6" i="50"/>
  <c r="D65" i="41"/>
  <c r="D30" i="51" l="1"/>
  <c r="D12" i="42"/>
  <c r="D15" i="62"/>
  <c r="D20" i="62" l="1"/>
  <c r="D9" i="83"/>
  <c r="K12" i="51" l="1"/>
  <c r="K11" i="62" s="1"/>
  <c r="D36" i="40"/>
  <c r="D74" i="41"/>
  <c r="D15" i="42" s="1"/>
  <c r="D33" i="42"/>
  <c r="D26" i="42"/>
  <c r="K14" i="51" s="1"/>
  <c r="D71" i="41"/>
  <c r="D52" i="41"/>
  <c r="D56" i="41"/>
  <c r="D29" i="51" s="1"/>
  <c r="D48" i="41"/>
  <c r="D43" i="41" s="1"/>
  <c r="D9" i="42" s="1"/>
  <c r="D38" i="41"/>
  <c r="D35" i="41"/>
  <c r="D31" i="41"/>
  <c r="D22" i="41"/>
  <c r="D21" i="41" s="1"/>
  <c r="D28" i="51" s="1"/>
  <c r="G43" i="82"/>
  <c r="D9" i="41" s="1"/>
  <c r="G41" i="82"/>
  <c r="G37" i="82"/>
  <c r="G34" i="82"/>
  <c r="G22" i="82"/>
  <c r="G19" i="82"/>
  <c r="G10" i="82"/>
  <c r="D17" i="40"/>
  <c r="D26" i="40"/>
  <c r="D22" i="40"/>
  <c r="D3" i="83"/>
  <c r="D34" i="50"/>
  <c r="D32" i="50"/>
  <c r="D31" i="50"/>
  <c r="D23" i="50" s="1"/>
  <c r="D4" i="50"/>
  <c r="D34" i="41" l="1"/>
  <c r="D78" i="41"/>
  <c r="D36" i="51"/>
  <c r="D7" i="51"/>
  <c r="D8" i="40"/>
  <c r="K8" i="51"/>
  <c r="K7" i="62" s="1"/>
  <c r="K11" i="51"/>
  <c r="K9" i="51" s="1"/>
  <c r="D33" i="40"/>
  <c r="D24" i="42"/>
  <c r="G3" i="50"/>
  <c r="D3" i="50"/>
  <c r="K28" i="51" s="1"/>
  <c r="D34" i="42"/>
  <c r="K13" i="62"/>
  <c r="D14" i="42"/>
  <c r="D7" i="42"/>
  <c r="D24" i="83"/>
  <c r="D30" i="41"/>
  <c r="G33" i="82"/>
  <c r="D8" i="41" s="1"/>
  <c r="H22" i="67"/>
  <c r="C27" i="42"/>
  <c r="C22" i="40"/>
  <c r="C52" i="41"/>
  <c r="C48" i="41"/>
  <c r="D6" i="62" l="1"/>
  <c r="D43" i="51"/>
  <c r="D50" i="51"/>
  <c r="D16" i="42"/>
  <c r="D18" i="62"/>
  <c r="K7" i="51"/>
  <c r="K6" i="62" s="1"/>
  <c r="K10" i="62"/>
  <c r="D28" i="40"/>
  <c r="D22" i="50"/>
  <c r="K18" i="62"/>
  <c r="K15" i="51"/>
  <c r="D25" i="62"/>
  <c r="D8" i="42"/>
  <c r="D23" i="42"/>
  <c r="D22" i="42"/>
  <c r="D38" i="50"/>
  <c r="M22" i="67"/>
  <c r="L22" i="67"/>
  <c r="K22" i="67"/>
  <c r="J22" i="67"/>
  <c r="I22" i="67"/>
  <c r="G22" i="67"/>
  <c r="F22" i="67"/>
  <c r="E22" i="67"/>
  <c r="D22" i="67"/>
  <c r="C22" i="67"/>
  <c r="B22" i="67"/>
  <c r="M21" i="67"/>
  <c r="L21" i="67"/>
  <c r="K21" i="67"/>
  <c r="J21" i="67"/>
  <c r="I21" i="67"/>
  <c r="H21" i="67"/>
  <c r="G21" i="67"/>
  <c r="F21" i="67"/>
  <c r="E21" i="67"/>
  <c r="D21" i="67"/>
  <c r="C21" i="67"/>
  <c r="B21" i="67"/>
  <c r="M20" i="67"/>
  <c r="L20" i="67"/>
  <c r="K20" i="67"/>
  <c r="J20" i="67"/>
  <c r="I20" i="67"/>
  <c r="H20" i="67"/>
  <c r="G20" i="67"/>
  <c r="F20" i="67"/>
  <c r="E20" i="67"/>
  <c r="D20" i="67"/>
  <c r="C20" i="67"/>
  <c r="B20" i="67"/>
  <c r="K8" i="62" l="1"/>
  <c r="K14" i="62"/>
  <c r="D6" i="51"/>
  <c r="D38" i="40"/>
  <c r="K49" i="51"/>
  <c r="K30" i="51"/>
  <c r="K36" i="51" s="1"/>
  <c r="K23" i="51"/>
  <c r="D21" i="42"/>
  <c r="D5" i="62"/>
  <c r="D27" i="62"/>
  <c r="M17" i="67"/>
  <c r="L17" i="67"/>
  <c r="K17" i="67"/>
  <c r="J17" i="67"/>
  <c r="I17" i="67"/>
  <c r="H17" i="67"/>
  <c r="G17" i="67"/>
  <c r="F17" i="67"/>
  <c r="E17" i="67"/>
  <c r="D17" i="67"/>
  <c r="C17" i="67"/>
  <c r="G8" i="67"/>
  <c r="M7" i="67"/>
  <c r="L7" i="67"/>
  <c r="K7" i="67"/>
  <c r="J7" i="67"/>
  <c r="I7" i="67"/>
  <c r="H7" i="67"/>
  <c r="G7" i="67"/>
  <c r="F7" i="67"/>
  <c r="E7" i="67"/>
  <c r="D7" i="67"/>
  <c r="C7" i="67"/>
  <c r="B7" i="67"/>
  <c r="B8" i="67"/>
  <c r="C8" i="67"/>
  <c r="D8" i="67"/>
  <c r="E8" i="67"/>
  <c r="F8" i="67"/>
  <c r="H8" i="67"/>
  <c r="K37" i="51" l="1"/>
  <c r="K43" i="51"/>
  <c r="K16" i="62"/>
  <c r="D20" i="42"/>
  <c r="K20" i="62"/>
  <c r="K50" i="51"/>
  <c r="K51" i="51"/>
  <c r="F41" i="82"/>
  <c r="K25" i="62" l="1"/>
  <c r="D19" i="42"/>
  <c r="K59" i="51"/>
  <c r="C17" i="40"/>
  <c r="K27" i="62" l="1"/>
  <c r="D30" i="42"/>
  <c r="B4" i="50"/>
  <c r="C4" i="50"/>
  <c r="K83" i="62" l="1"/>
  <c r="K28" i="62"/>
  <c r="D35" i="42"/>
  <c r="K30" i="42"/>
  <c r="C31" i="50" l="1"/>
  <c r="C28" i="42" l="1"/>
  <c r="D33" i="67" l="1"/>
  <c r="C33" i="67"/>
  <c r="B33" i="67"/>
  <c r="M31" i="67"/>
  <c r="L31" i="67"/>
  <c r="K31" i="67"/>
  <c r="J31" i="67"/>
  <c r="I31" i="67"/>
  <c r="H31" i="67"/>
  <c r="G31" i="67"/>
  <c r="F31" i="67"/>
  <c r="E31" i="67"/>
  <c r="D31" i="67"/>
  <c r="C31" i="67"/>
  <c r="B31" i="67"/>
  <c r="M25" i="67"/>
  <c r="L25" i="67"/>
  <c r="K25" i="67"/>
  <c r="J25" i="67"/>
  <c r="I25" i="67"/>
  <c r="H25" i="67"/>
  <c r="G25" i="67"/>
  <c r="F25" i="67"/>
  <c r="E25" i="67"/>
  <c r="D25" i="67"/>
  <c r="C25" i="67"/>
  <c r="B25" i="67"/>
  <c r="M23" i="67"/>
  <c r="L23" i="67"/>
  <c r="K23" i="67"/>
  <c r="J23" i="67"/>
  <c r="I23" i="67"/>
  <c r="H23" i="67"/>
  <c r="G23" i="67"/>
  <c r="F23" i="67"/>
  <c r="E23" i="67"/>
  <c r="D23" i="67"/>
  <c r="C23" i="67"/>
  <c r="B23" i="67"/>
  <c r="M27" i="67"/>
  <c r="L27" i="67"/>
  <c r="K27" i="67"/>
  <c r="J27" i="67"/>
  <c r="I27" i="67"/>
  <c r="H27" i="67"/>
  <c r="G27" i="67"/>
  <c r="F27" i="67"/>
  <c r="E27" i="67"/>
  <c r="D27" i="67"/>
  <c r="C27" i="67"/>
  <c r="B27" i="67"/>
  <c r="B17" i="67"/>
  <c r="M15" i="67"/>
  <c r="L15" i="67"/>
  <c r="K15" i="67"/>
  <c r="J15" i="67"/>
  <c r="I15" i="67"/>
  <c r="H15" i="67"/>
  <c r="G15" i="67"/>
  <c r="F15" i="67"/>
  <c r="E15" i="67"/>
  <c r="D15" i="67"/>
  <c r="C15" i="67"/>
  <c r="B15" i="67"/>
  <c r="M9" i="67"/>
  <c r="L9" i="67"/>
  <c r="K9" i="67"/>
  <c r="I9" i="67"/>
  <c r="H9" i="67"/>
  <c r="G9" i="67"/>
  <c r="E9" i="67"/>
  <c r="D9" i="67"/>
  <c r="C9" i="67"/>
  <c r="B9" i="67"/>
  <c r="M8" i="67"/>
  <c r="L8" i="67"/>
  <c r="K8" i="67"/>
  <c r="J8" i="67"/>
  <c r="I8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B9" i="83"/>
  <c r="B36" i="40" s="1"/>
  <c r="B23" i="50"/>
  <c r="B15" i="50"/>
  <c r="B6" i="40"/>
  <c r="B22" i="41"/>
  <c r="B21" i="41" s="1"/>
  <c r="C22" i="41" l="1"/>
  <c r="C23" i="50"/>
  <c r="C21" i="41" l="1"/>
  <c r="O21" i="67"/>
  <c r="O20" i="67"/>
  <c r="N45" i="62"/>
  <c r="N46" i="62"/>
  <c r="N47" i="62"/>
  <c r="N48" i="62"/>
  <c r="N49" i="62"/>
  <c r="N50" i="62"/>
  <c r="N51" i="62"/>
  <c r="N52" i="62"/>
  <c r="N53" i="62"/>
  <c r="N55" i="62"/>
  <c r="J54" i="62"/>
  <c r="J42" i="62"/>
  <c r="N42" i="62" s="1"/>
  <c r="J9" i="62"/>
  <c r="C7" i="62"/>
  <c r="J38" i="51"/>
  <c r="J26" i="62" s="1"/>
  <c r="J33" i="51"/>
  <c r="I33" i="51"/>
  <c r="J31" i="51"/>
  <c r="I31" i="51"/>
  <c r="J18" i="51"/>
  <c r="J6" i="51"/>
  <c r="J5" i="51"/>
  <c r="C40" i="51"/>
  <c r="C39" i="51"/>
  <c r="C30" i="51"/>
  <c r="C28" i="51"/>
  <c r="C22" i="51"/>
  <c r="C20" i="51"/>
  <c r="C18" i="51"/>
  <c r="C58" i="51" l="1"/>
  <c r="J17" i="51"/>
  <c r="J54" i="51" s="1"/>
  <c r="J21" i="62"/>
  <c r="J4" i="62"/>
  <c r="J5" i="62"/>
  <c r="C38" i="51"/>
  <c r="C17" i="51"/>
  <c r="J44" i="62"/>
  <c r="N44" i="62" s="1"/>
  <c r="J56" i="62"/>
  <c r="J55" i="51"/>
  <c r="C19" i="51"/>
  <c r="J15" i="62" l="1"/>
  <c r="C54" i="51"/>
  <c r="C55" i="51"/>
  <c r="C57" i="51"/>
  <c r="C26" i="62"/>
  <c r="J53" i="51"/>
  <c r="C56" i="51" l="1"/>
  <c r="C53" i="51"/>
  <c r="C8" i="40"/>
  <c r="C9" i="83"/>
  <c r="C36" i="40" s="1"/>
  <c r="C3" i="83"/>
  <c r="C33" i="40" s="1"/>
  <c r="C15" i="50"/>
  <c r="C28" i="40" l="1"/>
  <c r="C15" i="62"/>
  <c r="C3" i="50"/>
  <c r="O28" i="67" s="1"/>
  <c r="J12" i="51"/>
  <c r="O24" i="67"/>
  <c r="J11" i="51"/>
  <c r="O25" i="67"/>
  <c r="O22" i="67"/>
  <c r="J7" i="51"/>
  <c r="J28" i="51" l="1"/>
  <c r="J18" i="62" s="1"/>
  <c r="J11" i="62"/>
  <c r="J6" i="62"/>
  <c r="J10" i="62"/>
  <c r="J9" i="51"/>
  <c r="C32" i="42"/>
  <c r="C31" i="42"/>
  <c r="C26" i="42"/>
  <c r="C12" i="42"/>
  <c r="C74" i="41"/>
  <c r="C71" i="41"/>
  <c r="C61" i="41"/>
  <c r="C56" i="41"/>
  <c r="C43" i="41"/>
  <c r="C38" i="41"/>
  <c r="C35" i="41"/>
  <c r="C31" i="41"/>
  <c r="C7" i="42"/>
  <c r="C16" i="41"/>
  <c r="F43" i="82"/>
  <c r="C9" i="41" s="1"/>
  <c r="F37" i="82"/>
  <c r="F34" i="82"/>
  <c r="F25" i="82"/>
  <c r="F22" i="82"/>
  <c r="F19" i="82"/>
  <c r="F10" i="82"/>
  <c r="C26" i="40"/>
  <c r="C22" i="50"/>
  <c r="J8" i="62" l="1"/>
  <c r="C10" i="42"/>
  <c r="C29" i="51"/>
  <c r="C9" i="42"/>
  <c r="C11" i="42"/>
  <c r="O13" i="67"/>
  <c r="O10" i="67"/>
  <c r="O23" i="67"/>
  <c r="J8" i="51"/>
  <c r="O26" i="67"/>
  <c r="J14" i="51"/>
  <c r="O12" i="67"/>
  <c r="C18" i="62"/>
  <c r="C23" i="42"/>
  <c r="O29" i="67"/>
  <c r="J30" i="51"/>
  <c r="C15" i="42"/>
  <c r="C78" i="41"/>
  <c r="C14" i="42"/>
  <c r="C38" i="40"/>
  <c r="C24" i="83"/>
  <c r="C32" i="50"/>
  <c r="C34" i="41"/>
  <c r="F33" i="82"/>
  <c r="J7" i="62" l="1"/>
  <c r="O8" i="67"/>
  <c r="C36" i="51"/>
  <c r="C25" i="62"/>
  <c r="C7" i="51"/>
  <c r="C20" i="42"/>
  <c r="O17" i="67"/>
  <c r="O18" i="67"/>
  <c r="C8" i="41"/>
  <c r="C24" i="42"/>
  <c r="O30" i="67"/>
  <c r="J13" i="62"/>
  <c r="J15" i="51"/>
  <c r="J49" i="51" s="1"/>
  <c r="C16" i="42"/>
  <c r="J20" i="62"/>
  <c r="J36" i="51"/>
  <c r="C22" i="42"/>
  <c r="C30" i="41"/>
  <c r="J25" i="62" l="1"/>
  <c r="C43" i="51"/>
  <c r="C50" i="51"/>
  <c r="J14" i="62"/>
  <c r="J16" i="62" s="1"/>
  <c r="C6" i="62"/>
  <c r="C27" i="62"/>
  <c r="C19" i="42"/>
  <c r="C21" i="42"/>
  <c r="J23" i="51"/>
  <c r="J43" i="51"/>
  <c r="J50" i="51"/>
  <c r="J37" i="51"/>
  <c r="C8" i="42"/>
  <c r="C30" i="42" l="1"/>
  <c r="J27" i="62"/>
  <c r="J51" i="51"/>
  <c r="O9" i="67"/>
  <c r="C6" i="51"/>
  <c r="B6" i="50"/>
  <c r="B3" i="50" s="1"/>
  <c r="J28" i="62" l="1"/>
  <c r="J83" i="62"/>
  <c r="C5" i="62"/>
  <c r="J59" i="51"/>
  <c r="B26" i="42"/>
  <c r="B26" i="40"/>
  <c r="C33" i="42" l="1"/>
  <c r="C34" i="50"/>
  <c r="B32" i="50"/>
  <c r="O33" i="67" l="1"/>
  <c r="C34" i="42"/>
  <c r="C38" i="50"/>
  <c r="B24" i="42"/>
  <c r="C35" i="42" l="1"/>
  <c r="B16" i="41"/>
  <c r="B32" i="67" l="1"/>
  <c r="B34" i="67" l="1"/>
  <c r="B55" i="62" l="1"/>
  <c r="B48" i="62"/>
  <c r="B47" i="62"/>
  <c r="B34" i="62"/>
  <c r="B7" i="62"/>
  <c r="I38" i="51"/>
  <c r="I21" i="51"/>
  <c r="I18" i="51" l="1"/>
  <c r="I6" i="51"/>
  <c r="I5" i="51"/>
  <c r="B18" i="51"/>
  <c r="B39" i="51"/>
  <c r="B22" i="51"/>
  <c r="B20" i="51"/>
  <c r="B38" i="41"/>
  <c r="B22" i="50"/>
  <c r="B8" i="40"/>
  <c r="B33" i="42"/>
  <c r="B32" i="42"/>
  <c r="B31" i="42"/>
  <c r="B34" i="50"/>
  <c r="B74" i="41"/>
  <c r="B71" i="41"/>
  <c r="B65" i="41"/>
  <c r="B56" i="41"/>
  <c r="B49" i="41"/>
  <c r="B35" i="41"/>
  <c r="B31" i="41"/>
  <c r="E25" i="82"/>
  <c r="I17" i="51" l="1"/>
  <c r="B38" i="51"/>
  <c r="B78" i="41"/>
  <c r="B34" i="41"/>
  <c r="B30" i="41" s="1"/>
  <c r="B43" i="41"/>
  <c r="B30" i="51"/>
  <c r="B15" i="42"/>
  <c r="B14" i="42"/>
  <c r="H38" i="50"/>
  <c r="B34" i="42"/>
  <c r="I30" i="51"/>
  <c r="I28" i="51"/>
  <c r="O31" i="67"/>
  <c r="B38" i="50"/>
  <c r="B23" i="42"/>
  <c r="B22" i="42"/>
  <c r="I8" i="51"/>
  <c r="I7" i="51"/>
  <c r="B12" i="42"/>
  <c r="B10" i="42"/>
  <c r="B29" i="51"/>
  <c r="B7" i="42"/>
  <c r="B28" i="51"/>
  <c r="I14" i="51"/>
  <c r="B9" i="42" l="1"/>
  <c r="I6" i="62"/>
  <c r="I18" i="62"/>
  <c r="I15" i="62"/>
  <c r="B19" i="62"/>
  <c r="B20" i="62"/>
  <c r="B55" i="51"/>
  <c r="B16" i="42"/>
  <c r="B18" i="62"/>
  <c r="O15" i="67"/>
  <c r="B7" i="51"/>
  <c r="B8" i="42"/>
  <c r="B6" i="62" l="1"/>
  <c r="B6" i="51"/>
  <c r="B5" i="62" l="1"/>
  <c r="N33" i="67" l="1"/>
  <c r="P33" i="67" s="1"/>
  <c r="E16" i="67"/>
  <c r="E19" i="67" s="1"/>
  <c r="K16" i="67"/>
  <c r="K19" i="67" s="1"/>
  <c r="N35" i="67"/>
  <c r="N30" i="67"/>
  <c r="P30" i="67" s="1"/>
  <c r="N29" i="67"/>
  <c r="P29" i="67" s="1"/>
  <c r="N28" i="67"/>
  <c r="P28" i="67" s="1"/>
  <c r="N26" i="67"/>
  <c r="P26" i="67" s="1"/>
  <c r="N25" i="67"/>
  <c r="N24" i="67"/>
  <c r="N23" i="67"/>
  <c r="P23" i="67" s="1"/>
  <c r="N22" i="67"/>
  <c r="P22" i="67" s="1"/>
  <c r="N21" i="67"/>
  <c r="P21" i="67" s="1"/>
  <c r="N20" i="67"/>
  <c r="P20" i="67" s="1"/>
  <c r="N18" i="67"/>
  <c r="P18" i="67" s="1"/>
  <c r="N17" i="67"/>
  <c r="P17" i="67" s="1"/>
  <c r="N14" i="67"/>
  <c r="P14" i="67" s="1"/>
  <c r="N13" i="67"/>
  <c r="P13" i="67" s="1"/>
  <c r="N12" i="67"/>
  <c r="P12" i="67" s="1"/>
  <c r="N10" i="67"/>
  <c r="N9" i="67"/>
  <c r="P9" i="67" s="1"/>
  <c r="N8" i="67"/>
  <c r="P8" i="67" s="1"/>
  <c r="N7" i="67"/>
  <c r="I20" i="62"/>
  <c r="I13" i="62"/>
  <c r="I12" i="62"/>
  <c r="I9" i="62"/>
  <c r="I7" i="62"/>
  <c r="I5" i="62"/>
  <c r="I4" i="62"/>
  <c r="I26" i="62"/>
  <c r="P24" i="67" l="1"/>
  <c r="N31" i="67"/>
  <c r="P31" i="67" s="1"/>
  <c r="N27" i="67"/>
  <c r="I40" i="62"/>
  <c r="I12" i="51"/>
  <c r="C32" i="67"/>
  <c r="E32" i="67"/>
  <c r="E34" i="67" s="1"/>
  <c r="G32" i="67"/>
  <c r="G34" i="67" s="1"/>
  <c r="I32" i="67"/>
  <c r="I34" i="67" s="1"/>
  <c r="K32" i="67"/>
  <c r="K34" i="67" s="1"/>
  <c r="M32" i="67"/>
  <c r="M34" i="67" s="1"/>
  <c r="D32" i="67"/>
  <c r="D34" i="67" s="1"/>
  <c r="F32" i="67"/>
  <c r="F34" i="67" s="1"/>
  <c r="H32" i="67"/>
  <c r="H34" i="67" s="1"/>
  <c r="J32" i="67"/>
  <c r="J34" i="67" s="1"/>
  <c r="L32" i="67"/>
  <c r="L34" i="67" s="1"/>
  <c r="L16" i="67"/>
  <c r="L19" i="67" s="1"/>
  <c r="J16" i="67"/>
  <c r="J19" i="67" s="1"/>
  <c r="H16" i="67"/>
  <c r="H19" i="67" s="1"/>
  <c r="F16" i="67"/>
  <c r="F19" i="67" s="1"/>
  <c r="D16" i="67"/>
  <c r="D19" i="67" s="1"/>
  <c r="M16" i="67"/>
  <c r="M19" i="67" s="1"/>
  <c r="I16" i="67"/>
  <c r="I19" i="67" s="1"/>
  <c r="G16" i="67"/>
  <c r="G19" i="67" s="1"/>
  <c r="C16" i="67"/>
  <c r="C19" i="67" s="1"/>
  <c r="N15" i="67"/>
  <c r="P15" i="67" s="1"/>
  <c r="N11" i="67"/>
  <c r="B16" i="67"/>
  <c r="B36" i="67" s="1"/>
  <c r="I11" i="62" l="1"/>
  <c r="N32" i="67"/>
  <c r="C34" i="67"/>
  <c r="N34" i="67" s="1"/>
  <c r="C6" i="67"/>
  <c r="B19" i="67"/>
  <c r="N16" i="67"/>
  <c r="C36" i="67" l="1"/>
  <c r="D6" i="67" s="1"/>
  <c r="D36" i="67" s="1"/>
  <c r="N19" i="67"/>
  <c r="N36" i="67" l="1"/>
  <c r="E6" i="67"/>
  <c r="E36" i="67" s="1"/>
  <c r="I21" i="62"/>
  <c r="B3" i="83"/>
  <c r="I11" i="51" l="1"/>
  <c r="B24" i="83"/>
  <c r="F6" i="67"/>
  <c r="F36" i="67" s="1"/>
  <c r="I9" i="51" l="1"/>
  <c r="B28" i="40"/>
  <c r="B38" i="40" s="1"/>
  <c r="I10" i="62"/>
  <c r="O27" i="67"/>
  <c r="P25" i="67"/>
  <c r="G6" i="67"/>
  <c r="G36" i="67" s="1"/>
  <c r="E37" i="82"/>
  <c r="I8" i="62" l="1"/>
  <c r="I14" i="62" s="1"/>
  <c r="I15" i="51"/>
  <c r="B20" i="42"/>
  <c r="O32" i="67"/>
  <c r="P27" i="67"/>
  <c r="H6" i="67"/>
  <c r="H36" i="67" s="1"/>
  <c r="E8" i="82"/>
  <c r="B19" i="42" l="1"/>
  <c r="E7" i="82"/>
  <c r="F8" i="82"/>
  <c r="O34" i="67"/>
  <c r="P34" i="67" s="1"/>
  <c r="P32" i="67"/>
  <c r="I6" i="67"/>
  <c r="I36" i="67" s="1"/>
  <c r="E43" i="82"/>
  <c r="B9" i="41" s="1"/>
  <c r="E34" i="82"/>
  <c r="E22" i="82"/>
  <c r="E19" i="82"/>
  <c r="E10" i="82"/>
  <c r="F7" i="82" l="1"/>
  <c r="F6" i="82" s="1"/>
  <c r="F5" i="82" s="1"/>
  <c r="F46" i="82" s="1"/>
  <c r="E6" i="82"/>
  <c r="E5" i="82" s="1"/>
  <c r="B7" i="41" s="1"/>
  <c r="G8" i="82"/>
  <c r="C7" i="41"/>
  <c r="E33" i="82"/>
  <c r="B8" i="41" s="1"/>
  <c r="J6" i="67"/>
  <c r="J36" i="67" s="1"/>
  <c r="G7" i="82" l="1"/>
  <c r="G6" i="82" s="1"/>
  <c r="G5" i="82" s="1"/>
  <c r="H8" i="82"/>
  <c r="H7" i="82" s="1"/>
  <c r="H6" i="82" s="1"/>
  <c r="H5" i="82" s="1"/>
  <c r="B6" i="41"/>
  <c r="B5" i="41" s="1"/>
  <c r="B6" i="42" s="1"/>
  <c r="C6" i="41"/>
  <c r="E46" i="82"/>
  <c r="K6" i="67"/>
  <c r="K36" i="67" s="1"/>
  <c r="I55" i="51"/>
  <c r="B36" i="51"/>
  <c r="B40" i="51"/>
  <c r="I36" i="51"/>
  <c r="B19" i="51"/>
  <c r="B17" i="51"/>
  <c r="E7" i="41" l="1"/>
  <c r="H46" i="82"/>
  <c r="I8" i="82"/>
  <c r="D7" i="41"/>
  <c r="D6" i="41" s="1"/>
  <c r="D5" i="41" s="1"/>
  <c r="G46" i="82"/>
  <c r="B54" i="51"/>
  <c r="C5" i="41"/>
  <c r="B5" i="51"/>
  <c r="I50" i="51"/>
  <c r="I37" i="51"/>
  <c r="B26" i="62"/>
  <c r="B57" i="51"/>
  <c r="B43" i="51"/>
  <c r="B50" i="51"/>
  <c r="I49" i="51"/>
  <c r="I23" i="51"/>
  <c r="L6" i="67"/>
  <c r="L36" i="67" s="1"/>
  <c r="I54" i="51"/>
  <c r="I53" i="51" s="1"/>
  <c r="I43" i="51"/>
  <c r="D70" i="41" l="1"/>
  <c r="D79" i="41" s="1"/>
  <c r="D6" i="42"/>
  <c r="I7" i="82"/>
  <c r="J8" i="82"/>
  <c r="E6" i="41"/>
  <c r="I51" i="51"/>
  <c r="B53" i="51"/>
  <c r="C70" i="41"/>
  <c r="C6" i="42"/>
  <c r="B4" i="62"/>
  <c r="B15" i="51"/>
  <c r="M6" i="67"/>
  <c r="M36" i="67" s="1"/>
  <c r="B61" i="41"/>
  <c r="B21" i="42"/>
  <c r="D5" i="51" l="1"/>
  <c r="D13" i="42"/>
  <c r="E5" i="41"/>
  <c r="I6" i="82"/>
  <c r="J7" i="82"/>
  <c r="O7" i="67"/>
  <c r="P7" i="67" s="1"/>
  <c r="C5" i="51"/>
  <c r="I59" i="51"/>
  <c r="B14" i="62"/>
  <c r="B15" i="62"/>
  <c r="C79" i="41"/>
  <c r="C13" i="42"/>
  <c r="B49" i="51"/>
  <c r="I16" i="51"/>
  <c r="B23" i="51"/>
  <c r="B30" i="42"/>
  <c r="B11" i="42"/>
  <c r="B70" i="41"/>
  <c r="B79" i="41" s="1"/>
  <c r="D17" i="42" l="1"/>
  <c r="I5" i="82"/>
  <c r="J6" i="82"/>
  <c r="E70" i="41"/>
  <c r="E6" i="42"/>
  <c r="D4" i="62"/>
  <c r="D14" i="62" s="1"/>
  <c r="D16" i="62" s="1"/>
  <c r="D15" i="51"/>
  <c r="C17" i="42"/>
  <c r="C15" i="51"/>
  <c r="C4" i="62"/>
  <c r="B51" i="51"/>
  <c r="B35" i="42"/>
  <c r="B13" i="42"/>
  <c r="J5" i="82" l="1"/>
  <c r="F7" i="41"/>
  <c r="I46" i="82"/>
  <c r="J46" i="82" s="1"/>
  <c r="D23" i="51"/>
  <c r="K16" i="51"/>
  <c r="D49" i="51"/>
  <c r="D51" i="51" s="1"/>
  <c r="D28" i="62"/>
  <c r="D83" i="62"/>
  <c r="E13" i="42"/>
  <c r="E5" i="51"/>
  <c r="E79" i="41"/>
  <c r="C14" i="62"/>
  <c r="C49" i="51"/>
  <c r="C23" i="51"/>
  <c r="J16" i="51"/>
  <c r="I52" i="51"/>
  <c r="B17" i="42"/>
  <c r="P10" i="67"/>
  <c r="O11" i="67"/>
  <c r="I54" i="62"/>
  <c r="N54" i="62" s="1"/>
  <c r="F6" i="41" l="1"/>
  <c r="F5" i="41" s="1"/>
  <c r="G7" i="41"/>
  <c r="G6" i="41" s="1"/>
  <c r="G5" i="41" s="1"/>
  <c r="G6" i="42" s="1"/>
  <c r="E17" i="42"/>
  <c r="E15" i="51"/>
  <c r="E4" i="62"/>
  <c r="K52" i="51"/>
  <c r="D59" i="51"/>
  <c r="C51" i="51"/>
  <c r="C16" i="62"/>
  <c r="O16" i="67"/>
  <c r="P11" i="67"/>
  <c r="F6" i="42" l="1"/>
  <c r="F70" i="41"/>
  <c r="E14" i="62"/>
  <c r="E23" i="51"/>
  <c r="L16" i="51"/>
  <c r="E49" i="51"/>
  <c r="C28" i="62"/>
  <c r="C83" i="62"/>
  <c r="C59" i="51"/>
  <c r="J52" i="51"/>
  <c r="O19" i="67"/>
  <c r="P19" i="67" s="1"/>
  <c r="P16" i="67"/>
  <c r="F79" i="41" l="1"/>
  <c r="G79" i="41" s="1"/>
  <c r="G70" i="41"/>
  <c r="F13" i="42"/>
  <c r="F5" i="51"/>
  <c r="E51" i="51"/>
  <c r="E16" i="62"/>
  <c r="E59" i="51"/>
  <c r="I56" i="62"/>
  <c r="N56" i="62" s="1"/>
  <c r="I42" i="62"/>
  <c r="I25" i="62"/>
  <c r="I82" i="62"/>
  <c r="I71" i="62"/>
  <c r="I73" i="62" s="1"/>
  <c r="B54" i="62"/>
  <c r="B56" i="62" s="1"/>
  <c r="B42" i="62"/>
  <c r="B44" i="62" s="1"/>
  <c r="B25" i="62"/>
  <c r="I16" i="62"/>
  <c r="B16" i="62"/>
  <c r="F17" i="42" l="1"/>
  <c r="G13" i="42"/>
  <c r="L52" i="51"/>
  <c r="F4" i="62"/>
  <c r="F15" i="51"/>
  <c r="G5" i="51"/>
  <c r="E83" i="62"/>
  <c r="E28" i="62"/>
  <c r="I44" i="62"/>
  <c r="I27" i="62"/>
  <c r="N83" i="62" s="1"/>
  <c r="B27" i="62"/>
  <c r="B83" i="62" s="1"/>
  <c r="B58" i="51"/>
  <c r="F14" i="62" l="1"/>
  <c r="G4" i="62"/>
  <c r="F36" i="42"/>
  <c r="G17" i="42"/>
  <c r="M16" i="51"/>
  <c r="N16" i="51" s="1"/>
  <c r="F49" i="51"/>
  <c r="F23" i="51"/>
  <c r="G23" i="51" s="1"/>
  <c r="G15" i="51"/>
  <c r="I83" i="62"/>
  <c r="B84" i="62" s="1"/>
  <c r="I28" i="62"/>
  <c r="B28" i="62"/>
  <c r="B56" i="51"/>
  <c r="F16" i="62" l="1"/>
  <c r="G14" i="62"/>
  <c r="F51" i="51"/>
  <c r="G49" i="51"/>
  <c r="B59" i="51"/>
  <c r="M52" i="51" l="1"/>
  <c r="N52" i="51" s="1"/>
  <c r="F59" i="51"/>
  <c r="G51" i="51"/>
  <c r="G59" i="51" s="1"/>
  <c r="F28" i="62"/>
  <c r="G28" i="62" s="1"/>
  <c r="G16" i="62"/>
  <c r="G83" i="62" s="1"/>
</calcChain>
</file>

<file path=xl/sharedStrings.xml><?xml version="1.0" encoding="utf-8"?>
<sst xmlns="http://schemas.openxmlformats.org/spreadsheetml/2006/main" count="598" uniqueCount="396">
  <si>
    <t xml:space="preserve"> 1.5. Helyi önk. Működési célú költségvetési támogatásai és kiegészítő támogatásai</t>
  </si>
  <si>
    <t xml:space="preserve"> 1.6. Elszámolásból származó bevételek</t>
  </si>
  <si>
    <t>1. Települési önkormányzatok működésének támogatása</t>
  </si>
  <si>
    <t>7. Működési célú visszatérítendő támogatások, kölcsönök nyújtása áh-n kívülre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</si>
  <si>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</si>
  <si>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</si>
  <si>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</si>
  <si>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</si>
  <si>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</si>
  <si>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</si>
  <si>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</si>
  <si>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</si>
  <si>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</si>
  <si>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2. Költségvetési hiány külső finanszírozására szolgáló finanszírozási célú pénzügyi műveletek bevételei</t>
  </si>
  <si>
    <t>Bevételek összesen:</t>
  </si>
  <si>
    <t>Működési kiadások</t>
  </si>
  <si>
    <t>Felhalmozási kiadások</t>
  </si>
  <si>
    <t>Tartalékok</t>
  </si>
  <si>
    <t>Általános</t>
  </si>
  <si>
    <t>Cél</t>
  </si>
  <si>
    <t>Költségvetési kiadások összesen:</t>
  </si>
  <si>
    <t>Finanszírozási kiadások összesen:</t>
  </si>
  <si>
    <t>Kiadások összesen:</t>
  </si>
  <si>
    <t>1. Önkormányzat működési támogatásai</t>
  </si>
  <si>
    <t xml:space="preserve"> 1.1. Helyi önk. működésének ált. támogatása</t>
  </si>
  <si>
    <t xml:space="preserve"> 1.3. Települési önk. szoc. és gyermekjóléti feladatainak tám.</t>
  </si>
  <si>
    <t xml:space="preserve"> 1.4. Települési önk. kult. feladatainak támogatása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</si>
  <si>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</si>
  <si>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</si>
  <si>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</si>
  <si>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</si>
  <si>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1. Felhalmozási célú önkormányzati támogatások</t>
  </si>
  <si>
    <t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</si>
  <si>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</si>
  <si>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</si>
  <si>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1. Vagyoni típusú adók</t>
  </si>
  <si>
    <t xml:space="preserve">      1.2. Telekadó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</si>
  <si>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</si>
  <si>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</si>
  <si>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</si>
  <si>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</si>
  <si>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</si>
  <si>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</si>
  <si>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</si>
  <si>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>3. Egyéb közhatalmi bevételek  (bírság, pótlék,)</t>
  </si>
  <si>
    <t>1. Áru- és készletértékesítés bevétele</t>
  </si>
  <si>
    <t>2. Nyújtott szolgáltatások ellenértéke</t>
  </si>
  <si>
    <t>3. Közvetített szolgáltatások ellenértéke</t>
  </si>
  <si>
    <t>4. Tulajdonosi bevételek</t>
  </si>
  <si>
    <t>5. Ellátási díjak</t>
  </si>
  <si>
    <t>6. Kiszámlázott Áfa</t>
  </si>
  <si>
    <t>7. Áfa visszatérítés</t>
  </si>
  <si>
    <t>8. Kamatbevétel</t>
  </si>
  <si>
    <t xml:space="preserve">  1. Immateriális javak  értékesítése</t>
  </si>
  <si>
    <t xml:space="preserve">  2. Ingatlanok értékesítése</t>
  </si>
  <si>
    <t xml:space="preserve">  3. Egyéb tárgyi eszközök értékesítése</t>
  </si>
  <si>
    <t xml:space="preserve">  4. Részesedések értékesítése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</si>
  <si>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</si>
  <si>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</si>
  <si>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</si>
  <si>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</si>
  <si>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</si>
  <si>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</si>
  <si>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</si>
  <si>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</si>
  <si>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Összes bevétel:</t>
  </si>
  <si>
    <t xml:space="preserve">  ebből közfoglalkoztatott</t>
  </si>
  <si>
    <t>LÉTSZÁM</t>
  </si>
  <si>
    <t>MUTATÓ</t>
  </si>
  <si>
    <t>FAJLAGOS</t>
  </si>
  <si>
    <t>Önkormányzati hivatal működtetésének támogatás (beszámítás után)</t>
  </si>
  <si>
    <t>Önkormányzati hivatal működtetésének támogatás elismert hivatali létsz.</t>
  </si>
  <si>
    <t>Zöldterület-gazdálk-al kapcsolatos feladatok ellátásának támog.</t>
  </si>
  <si>
    <t>Beszámítás összege</t>
  </si>
  <si>
    <t>Közvilágítás fenntartásának támogatás</t>
  </si>
  <si>
    <t>Köztemető fenntartással kapcsolatos feladatok támog.</t>
  </si>
  <si>
    <t>Közutak fenntartásának támogatás</t>
  </si>
  <si>
    <t xml:space="preserve">Pénzbeli szociális juttatások </t>
  </si>
  <si>
    <t>Egyes szoc.és gyermekjólétii felad.támog.</t>
  </si>
  <si>
    <t>Gyermekétkeztetés támogatása</t>
  </si>
  <si>
    <t>Kulturális feladatok támogatása</t>
  </si>
  <si>
    <t>Nyilvános könyvtári és közművelődési feladatok támogatása</t>
  </si>
  <si>
    <t>Lakott külterületekkel kapcsolatos feladatok támogatása</t>
  </si>
  <si>
    <t>Összesen</t>
  </si>
  <si>
    <t>Megnevezés</t>
  </si>
  <si>
    <t>Összesen:</t>
  </si>
  <si>
    <t>1. Személyi juttatás</t>
  </si>
  <si>
    <t>2. Munkaadót terhelő járulékok</t>
  </si>
  <si>
    <t>3. Dologi kiadások</t>
  </si>
  <si>
    <t>5. Egyéb működési célú kiadások</t>
  </si>
  <si>
    <t>1. Személyi juttatások</t>
  </si>
  <si>
    <t>4. Ellátottak pénzbeli juttatásai</t>
  </si>
  <si>
    <t>3. Működési célú visszatérítendő támogatások, kölcsönök nyújtása áh-n belülre</t>
  </si>
  <si>
    <t>4. Működési célú visszatérítendő támogatások, kölcsönök törlesztése áh-n belülre</t>
  </si>
  <si>
    <t>6. Működési célú garancia- és kezességvállalásból származó kifizetés államháztartáson kívülre</t>
  </si>
  <si>
    <t>Önkormányzati működési kiadások  összesen:</t>
  </si>
  <si>
    <t>Forgatási célú értékpapír vásárlás</t>
  </si>
  <si>
    <t>IV. Finanszírozási kiadások</t>
  </si>
  <si>
    <t>Felhalmozási kiadások összesen:</t>
  </si>
  <si>
    <t xml:space="preserve">1. Működési bevételek </t>
  </si>
  <si>
    <t>2. Működési kiadások</t>
  </si>
  <si>
    <t>1. Működési célú támogatások államháztartáson belülről</t>
  </si>
  <si>
    <t>2. Közhatalmi bevételek</t>
  </si>
  <si>
    <t xml:space="preserve">3. Működési bevételek </t>
  </si>
  <si>
    <t>3. Dologi  kiadások</t>
  </si>
  <si>
    <t>4. Működési célú átvett pénzeszközök államháztartáson kivülről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</si>
  <si>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</si>
  <si>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</si>
  <si>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</si>
  <si>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</si>
  <si>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</si>
  <si>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</si>
  <si>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5. Költségvetési Maradvány</t>
  </si>
  <si>
    <t>Költségvetési hiány külső finanszírozása működési célú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</si>
  <si>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</si>
  <si>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</si>
  <si>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</si>
  <si>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</si>
  <si>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</si>
  <si>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</si>
  <si>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</si>
  <si>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</si>
  <si>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</si>
  <si>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</si>
  <si>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</si>
  <si>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</si>
  <si>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</si>
  <si>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</si>
  <si>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</si>
  <si>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</si>
  <si>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</si>
  <si>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>ELŐIRÁNYZAT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</si>
  <si>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</si>
  <si>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</si>
  <si>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</si>
  <si>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4.Költségvetési maradvány</t>
  </si>
  <si>
    <t>4. Értékpapírok visszavásárlása</t>
  </si>
  <si>
    <t>Költségvetési hiány külső finanszírozása felhalmozási célú</t>
  </si>
  <si>
    <t>5. Hitelek törlesztése</t>
  </si>
  <si>
    <t>5. Értékpapír kibocsátás, értékesítés</t>
  </si>
  <si>
    <t>6. Hitelfelvétel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</si>
  <si>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</si>
  <si>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</si>
  <si>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</si>
  <si>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</si>
  <si>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</si>
  <si>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</si>
  <si>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</si>
  <si>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</si>
  <si>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</si>
  <si>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</si>
  <si>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</si>
  <si>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</si>
  <si>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</si>
  <si>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</si>
  <si>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</si>
  <si>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</si>
  <si>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TÖBBLET</t>
  </si>
  <si>
    <t>Működési bevételek</t>
  </si>
  <si>
    <t>1. Működési támogatások államháztartáson belülről</t>
  </si>
  <si>
    <t>Költségvetési működési  bevételek kötelező feladatok szerinti bontásban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</si>
  <si>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</si>
  <si>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</si>
  <si>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</si>
  <si>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</si>
  <si>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</si>
  <si>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</si>
  <si>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</si>
  <si>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</si>
  <si>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</si>
  <si>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</si>
  <si>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</si>
  <si>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</si>
  <si>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</si>
  <si>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</si>
  <si>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</si>
  <si>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</si>
  <si>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</si>
  <si>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</si>
  <si>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</si>
  <si>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</si>
  <si>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</si>
  <si>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</si>
  <si>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</si>
  <si>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</si>
  <si>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</si>
  <si>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</si>
  <si>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</si>
  <si>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</si>
  <si>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</si>
  <si>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</si>
  <si>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</si>
  <si>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</si>
  <si>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</si>
  <si>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</si>
  <si>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</si>
  <si>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</si>
  <si>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</si>
  <si>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</si>
  <si>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</si>
  <si>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</si>
  <si>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Nyitó pénzkészlet</t>
  </si>
  <si>
    <t>Közhatalmi bevételek</t>
  </si>
  <si>
    <t>Működési bevételek összesen:</t>
  </si>
  <si>
    <t>Felhalmozási bevételek összesen</t>
  </si>
  <si>
    <t>Ellátottak pénzbeli juttatásai</t>
  </si>
  <si>
    <t>Működési kiadások összesen:</t>
  </si>
  <si>
    <t>Beruházások</t>
  </si>
  <si>
    <t>Felújítások</t>
  </si>
  <si>
    <t>Felhalmozási célú kiadások összesen</t>
  </si>
  <si>
    <t>Finanszírozási kiadások (hitel törlesztés, értékpapír visszavásárlás)</t>
  </si>
  <si>
    <t>Záró pénzkészlet</t>
  </si>
  <si>
    <t>MEGNEVEZÉS</t>
  </si>
  <si>
    <t xml:space="preserve">      2.3.3. Települési adó</t>
  </si>
  <si>
    <t>9. Egyéb működési bevételek (kártérítés, kötbér, stb.)</t>
  </si>
  <si>
    <t>Egyéb önkormányzati feladatok támogatása</t>
  </si>
  <si>
    <t>Települési önkormányzatok szociális feladatainak egyéb támogatása</t>
  </si>
  <si>
    <t>Pénzbeli szociális ellátások kiegészítése</t>
  </si>
  <si>
    <t>1. Költségvetési hiány belső finanszírozására szolgáló finanszírozási  bevételek</t>
  </si>
  <si>
    <t>I. HELYI ÖNKORMÁNYZATOK MŰKÖDÉSÉNEK ÁLT.TÁMOGATÁSA</t>
  </si>
  <si>
    <t>III. SZOCIÁLIS, GYERMEKJÓLÉTI  ÉS GYERMEKÉTKEZTETÉSI FELADATAI</t>
  </si>
  <si>
    <t>6. Pénzforgalom nélküli kiadások (tartalék)</t>
  </si>
  <si>
    <t xml:space="preserve">2. Elvonások, befizetések </t>
  </si>
  <si>
    <t>5. Egyéb felhalmozási célú támogatások államháztartáson belülről</t>
  </si>
  <si>
    <t>Intézményi létszámok:</t>
  </si>
  <si>
    <t>Állami támogatás megelőlegezés visszafizetés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</si>
  <si>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</si>
  <si>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</si>
  <si>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</si>
  <si>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</si>
  <si>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Állami támogatás megelőlegezés visszafizetése</t>
  </si>
  <si>
    <t>7. Állami támogatás megelőlegezés visszafizetése</t>
  </si>
  <si>
    <t>8. Állami támogatás megelőlegezés visszafizetése</t>
  </si>
  <si>
    <t>9. Betét vásárlás</t>
  </si>
  <si>
    <t>3.3. Felhalmozási célú visszatérítendő támogatások, kölcsönök nyújtása áh-n belülre</t>
  </si>
  <si>
    <t>Önkormányzati támogatás</t>
  </si>
  <si>
    <t>Település üzemeltetéséhez kapcsolódó feladatellát.támog.(beszámítás után)</t>
  </si>
  <si>
    <t>Egyéb önkormányzati feladatok támogatása (beszámítás után)</t>
  </si>
  <si>
    <t>Lakott külterületekkel kapcsolatos feladatok támogatása(beszámítás után)</t>
  </si>
  <si>
    <t>Üdülőhelyi feladatok támogatása (beszámitás után)</t>
  </si>
  <si>
    <t xml:space="preserve">Üdülőhelyi feladatok támogatása </t>
  </si>
  <si>
    <t>II. EGYES KÖZNEVELÉSI FELADATOK TÁMOGATÁSA</t>
  </si>
  <si>
    <t>4.1. Üzemeltetési díjak</t>
  </si>
  <si>
    <t>Informatikai szolg.igénybevétele</t>
  </si>
  <si>
    <t>Egyéb kommunikációs szolg.</t>
  </si>
  <si>
    <t>Közüzemi díjak</t>
  </si>
  <si>
    <t>Vásárolt élelmezés</t>
  </si>
  <si>
    <t>Karbantartási szolg.</t>
  </si>
  <si>
    <t>Szakmai tevékenységet segítő szolg.</t>
  </si>
  <si>
    <t>Működési célú előzetesen felsz.áfa</t>
  </si>
  <si>
    <t>Fizetendő áfa</t>
  </si>
  <si>
    <t>Egyéb dologi kiadások</t>
  </si>
  <si>
    <t>Egyéb szolgáltatások</t>
  </si>
  <si>
    <t>I.   Önkormányzati Hivatal költségvetése</t>
  </si>
  <si>
    <t>1.  Működési célú támogatások államháztartáson belülre</t>
  </si>
  <si>
    <t>Közoktatási Intézményfenntartó Társulás Pécsely  Óvoda fenntart támogatás</t>
  </si>
  <si>
    <t>Balatonfüredi közös Önkorm Hivatal</t>
  </si>
  <si>
    <t>BURSA Hungarica ösztöndíj (Wekerle Sándor Alapkezelő)</t>
  </si>
  <si>
    <t>2. Működési célú támogatások államháztartáson kívülre</t>
  </si>
  <si>
    <t>3. Működési célú visszatérítendő támogatások, kölcsönök nyújtása, törlesztése</t>
  </si>
  <si>
    <t>Egyéb működési célú kiadások összesen:</t>
  </si>
  <si>
    <t>Bf. Többcélú Társulás</t>
  </si>
  <si>
    <t>I. BERUHÁZÁSOK</t>
  </si>
  <si>
    <t>II. FELÚJÍTÁSOK</t>
  </si>
  <si>
    <t>III. EGYÉB FELHALMOZÁSI KIADÁSOK</t>
  </si>
  <si>
    <t>Részesedések beszerzése</t>
  </si>
  <si>
    <t>Egyéb felhalmozási kiadások</t>
  </si>
  <si>
    <t>Közfoglalkoztatottak támogatás</t>
  </si>
  <si>
    <t xml:space="preserve">     Szakmai anyagok beszerzése</t>
  </si>
  <si>
    <t xml:space="preserve">     Üzemeltetési anyagok beszerzése</t>
  </si>
  <si>
    <t>Önkormányzati feladatok</t>
  </si>
  <si>
    <t>Reklám és propaganda</t>
  </si>
  <si>
    <t>4.  Ellátottak pénzbeli juttatásai</t>
  </si>
  <si>
    <t>Szeptem-ber</t>
  </si>
  <si>
    <t>Működési célú támogatások államháztartáson belülről</t>
  </si>
  <si>
    <t>Működési célú átvett pénzeszk. Áh-n kívülről</t>
  </si>
  <si>
    <t>Felhalmozási célú támogatások államháztartáson belülről</t>
  </si>
  <si>
    <t xml:space="preserve">Felhalmozási bevételek  </t>
  </si>
  <si>
    <t>Felhalm. célú átvett pénzeszk. Áh-n kívülről</t>
  </si>
  <si>
    <t>Költségvetési maradvány igénybevétele</t>
  </si>
  <si>
    <t>Személyi juttatások</t>
  </si>
  <si>
    <t>Munkaadót terhelő járulékok és szoc. hj. adó</t>
  </si>
  <si>
    <t>Dologi kiadások</t>
  </si>
  <si>
    <t>Egyéb működési célú támogatások áh-n kívülre</t>
  </si>
  <si>
    <t>Egyéb működési célú támogatások áh-n belülre</t>
  </si>
  <si>
    <t>Korrekció (előző évi kifizetés miatt)</t>
  </si>
  <si>
    <t>Finanszírozási bevételek (hitel, kötvény, értékpapír, állami tám.megelőlegezés)</t>
  </si>
  <si>
    <t>Települési támogatás</t>
  </si>
  <si>
    <t>Falugondnoki vagy tanyagondnoki</t>
  </si>
  <si>
    <t>2.1. Forgatási célú értékpapír beváltása</t>
  </si>
  <si>
    <t>10. Forgatási célú értékpapír vás.</t>
  </si>
  <si>
    <t>2.4. Államháztartáson belüli megelőlegezések</t>
  </si>
  <si>
    <t>2016. évről áthúzódó bérkompenzáció támogatása</t>
  </si>
  <si>
    <t>Ingatlanok beszerzése, létesítése</t>
  </si>
  <si>
    <t>Informatikai eszközök beszerzése, létesítése</t>
  </si>
  <si>
    <t>Egyéb tárgyi eszköz beszerzése</t>
  </si>
  <si>
    <t>Ingatlanok Felújítása</t>
  </si>
  <si>
    <t>Egyéb</t>
  </si>
  <si>
    <t>6. Értékpapír beváltása</t>
  </si>
  <si>
    <t>Református egyház</t>
  </si>
  <si>
    <t>Mosoly Alapítány</t>
  </si>
  <si>
    <t xml:space="preserve"> Bfüredi Önk Tűzoltóságnak</t>
  </si>
  <si>
    <t xml:space="preserve"> Balatonszőlős Sport egyesület</t>
  </si>
  <si>
    <t xml:space="preserve"> Balatonszőlős Darts egyesület</t>
  </si>
  <si>
    <t>Bérleti és lizing díjak</t>
  </si>
  <si>
    <t>Közvetített szolgáltatások</t>
  </si>
  <si>
    <t xml:space="preserve">      1.1. Magánszemélyek kommunális adója</t>
  </si>
  <si>
    <t>Tihany Iskoláért Alapítvány</t>
  </si>
  <si>
    <t>2. Elvonások, befizetések</t>
  </si>
  <si>
    <t>Bakonykarszt-Víz és csatorna támogatás</t>
  </si>
  <si>
    <t>2.5. Lekötött bankbetét megszüntetése</t>
  </si>
  <si>
    <t>Lekötött bankbetét beváltása</t>
  </si>
  <si>
    <t>7. Lekötött bankbetét megszüntetése</t>
  </si>
  <si>
    <t>8. Lekötött bankbetét megszüntetése</t>
  </si>
  <si>
    <t xml:space="preserve">       Közösségi Ház féltető</t>
  </si>
  <si>
    <t xml:space="preserve">      Közösségi Ház nyitott szintere</t>
  </si>
  <si>
    <t xml:space="preserve">      Mosó pályázat önrésze</t>
  </si>
  <si>
    <t xml:space="preserve">      Közösségi Ház Gázkazán</t>
  </si>
  <si>
    <t xml:space="preserve">      Műtrágya szóró</t>
  </si>
  <si>
    <t xml:space="preserve">      Pécselyi iskola tető felújítása tulajdonarányosan</t>
  </si>
  <si>
    <t xml:space="preserve">     Sportöltöző és sportpálya felújítása pályázat önrész</t>
  </si>
  <si>
    <t>I.MÓDOSÍTÁS</t>
  </si>
  <si>
    <t>ELTÉRÉS</t>
  </si>
  <si>
    <r>
      <t xml:space="preserve">    </t>
    </r>
    <r>
      <rPr>
        <sz val="12"/>
        <rFont val="Times New Roman"/>
        <family val="1"/>
        <charset val="238"/>
      </rPr>
      <t>1.1. Előző év költségvetési maradványának  igénybevétele működési célra</t>
    </r>
  </si>
  <si>
    <t>2017. ÉVI EREDETI</t>
  </si>
  <si>
    <t>"Önkormányzati feladatellátást szolgáló fejlesztések támogatása" pályázat, utak felújítása önrész</t>
  </si>
  <si>
    <t xml:space="preserve">Falugondnokok egyesülete támogatás </t>
  </si>
  <si>
    <t xml:space="preserve">     Fűnyíró</t>
  </si>
  <si>
    <t xml:space="preserve">    Kisértékű tárgyi eszközök</t>
  </si>
  <si>
    <t>5. Egyéb működési célú támogatások áhb</t>
  </si>
  <si>
    <t>8. Egyéb működési célú támogatások áhk</t>
  </si>
  <si>
    <t>1. Működési célú garancia- és kezességvállalásból származó kifizetés áhb</t>
  </si>
  <si>
    <t>1. Működési célú garancia- és kezességvállalásból származó megtérülések áhk</t>
  </si>
  <si>
    <t xml:space="preserve">    Közfoglalkoztatott támogatás előleg 2018.01-02 hó</t>
  </si>
  <si>
    <t xml:space="preserve">2. Munkaadót terhelő járulékok </t>
  </si>
  <si>
    <t>5.2. Egyéb működési célú támogatások áhb</t>
  </si>
  <si>
    <t>5.4. Egyéb működési célú támogatások áhk</t>
  </si>
  <si>
    <t>5.5. Működési célú visszatérítendő tám.-k, kölcsönök nyújtása áhk</t>
  </si>
  <si>
    <t>1. Felhalmozási célú támogatások áhb</t>
  </si>
  <si>
    <t>3. Felhalmozási célú átvett pénzeszközök áhk</t>
  </si>
  <si>
    <t>3.1. Egyéb felhalmozási célú pénzeszköz átadás áhk</t>
  </si>
  <si>
    <t>4. Működési célú átvett pénzeszközök áhk</t>
  </si>
  <si>
    <t xml:space="preserve">      Mosó pályázat munkálatok</t>
  </si>
  <si>
    <t xml:space="preserve">     Sportöltöző és sportpálya felújítása pályázat munkálatok</t>
  </si>
  <si>
    <t xml:space="preserve">     Sportöltöző és sportpálya felújítása pályázat támogatása</t>
  </si>
  <si>
    <t xml:space="preserve">      Mosó pályázat támogatás</t>
  </si>
  <si>
    <t>AZ ÖNKORMÁNYZAT FŐÖSSZESÍTŐJE</t>
  </si>
  <si>
    <t>BEVÉTELEK ELŐIRÁNYZATA</t>
  </si>
  <si>
    <t xml:space="preserve"> Az Önkormányzat felhalmozási bevételei és kiadásai  2017. év </t>
  </si>
  <si>
    <t xml:space="preserve">Bevétele és kiadások mérlege 2017. év </t>
  </si>
  <si>
    <t xml:space="preserve"> Az Önkormányzat önként vállalt feladatok bevételei és kiadásai  2017. év </t>
  </si>
  <si>
    <t xml:space="preserve"> Az Önkormányzat állami (államigazgatási) feladatok bevételei és kiadásai  2017. év </t>
  </si>
  <si>
    <t>2018. ÉVI EREDETI</t>
  </si>
  <si>
    <t>Polgármesteri illetmény támogatása</t>
  </si>
  <si>
    <t>Kiegészítés összege</t>
  </si>
  <si>
    <t>Szociális ágazati pótlék 2018</t>
  </si>
  <si>
    <t xml:space="preserve">FELHALMOZÁSI KIADÁSOK 2018. ÉV </t>
  </si>
  <si>
    <t xml:space="preserve">      MLSZ futballpály körbekerítés</t>
  </si>
  <si>
    <t>Immateriális javak beszerzése</t>
  </si>
  <si>
    <t xml:space="preserve">       Rendezési terv felülvizsgálat önrész</t>
  </si>
  <si>
    <t xml:space="preserve">MŰKÖDÉSI KIADÁSOK 2018. ÉV </t>
  </si>
  <si>
    <t xml:space="preserve"> Az Önkormányzat  működési bevételei és kiadásai  2018. év </t>
  </si>
  <si>
    <t xml:space="preserve"> Az Önkormányzat  kötelező feladatok bevételei és kiadásai  2018. év </t>
  </si>
  <si>
    <t xml:space="preserve">     Önkormányzati fejlesztések 2018 önrész</t>
  </si>
  <si>
    <t xml:space="preserve">     Önkormányzati fejlesztések 2018 munkálatok</t>
  </si>
  <si>
    <t xml:space="preserve">     Önkormányzati fejlesztések 2018 támogatása</t>
  </si>
  <si>
    <t>9. Állami támogatás visszafizetési kötelezettség</t>
  </si>
  <si>
    <t>Eltérés</t>
  </si>
  <si>
    <r>
      <t>BEVÉTELEK ÉS KIADÁSOK ELŐIRÁNYZATÁNAK HAVI ÜTEMEZÉSE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2018.</t>
    </r>
  </si>
  <si>
    <t xml:space="preserve">ÁLLAMI TÁMOGATÁSOK 2018. ÉV </t>
  </si>
  <si>
    <t>II.MÓDOSÍTÁS</t>
  </si>
  <si>
    <t>Bakonykarszt</t>
  </si>
  <si>
    <t xml:space="preserve">      LEADER pályázat Közösségi tér önrész 75/2018.(VIII.28.)</t>
  </si>
  <si>
    <t xml:space="preserve">      LEADER pályázat Közösségi tér munkálatok 75/2018.(VIII.28.)</t>
  </si>
  <si>
    <t xml:space="preserve">   Öreg Gella Útfelújítás önrész</t>
  </si>
  <si>
    <t xml:space="preserve">   Öreg Gella Útfelújítás munkálatok</t>
  </si>
  <si>
    <t xml:space="preserve">  2.1 Öreg Gella útfelújítás</t>
  </si>
  <si>
    <t xml:space="preserve"> 2.2 bérleti díjak</t>
  </si>
  <si>
    <t xml:space="preserve">  3.1 LEADER Közösségi tér </t>
  </si>
  <si>
    <t>EFOP-5.1.2-16-2017 Humán szolgáltatások fejlesztése</t>
  </si>
  <si>
    <t>III.MÓDOSÍTÁS</t>
  </si>
  <si>
    <t xml:space="preserve">      Mobil lemezgarázs</t>
  </si>
  <si>
    <t>Tüzifa támogatás</t>
  </si>
  <si>
    <t>IV.MÓDOSÍTÁS</t>
  </si>
  <si>
    <t>2018. eredeti</t>
  </si>
  <si>
    <t>I.   módosítás</t>
  </si>
  <si>
    <t>II.   Módosítás</t>
  </si>
  <si>
    <t>III.     Módosítás</t>
  </si>
  <si>
    <t>IV.      Módosítás</t>
  </si>
  <si>
    <t>I.   MÓDOSÍTÁS</t>
  </si>
  <si>
    <t>II.      MÓDOSÍTÁS</t>
  </si>
  <si>
    <t>II.   módosítás</t>
  </si>
  <si>
    <t>III.   módosítás</t>
  </si>
  <si>
    <t>IV.     módosítás</t>
  </si>
  <si>
    <t>2.  Működési kiadások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</si>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</sst>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mmm\ d/"/>
    <numFmt numFmtId="165" formatCode="#,##0.0"/>
    <numFmt numFmtId="166" formatCode="#,##0\ _F_t"/>
  </numFmts>
  <fonts count="3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7" borderId="1" applyNumberFormat="0" applyAlignment="0" applyProtection="0"/>
    <xf numFmtId="0" fontId="18" fillId="23" borderId="1" applyNumberFormat="0" applyAlignment="0" applyProtection="0"/>
    <xf numFmtId="0" fontId="9" fillId="2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2" fillId="0" borderId="0" applyFill="0" applyBorder="0" applyAlignment="0" applyProtection="0"/>
    <xf numFmtId="0" fontId="10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1" fillId="0" borderId="6" applyNumberFormat="0" applyFill="0" applyAlignment="0" applyProtection="0"/>
    <xf numFmtId="0" fontId="22" fillId="26" borderId="7" applyNumberFormat="0" applyFont="0" applyAlignment="0" applyProtection="0"/>
    <xf numFmtId="0" fontId="13" fillId="27" borderId="8" applyNumberFormat="0" applyAlignment="0" applyProtection="0"/>
    <xf numFmtId="0" fontId="17" fillId="28" borderId="0" applyNumberFormat="0" applyBorder="0" applyAlignment="0" applyProtection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7" borderId="1" applyNumberFormat="0" applyAlignment="0" applyProtection="0"/>
    <xf numFmtId="0" fontId="11" fillId="0" borderId="6" applyNumberFormat="0" applyFill="0" applyAlignment="0" applyProtection="0"/>
    <xf numFmtId="0" fontId="15" fillId="0" borderId="0"/>
    <xf numFmtId="0" fontId="15" fillId="0" borderId="0"/>
    <xf numFmtId="0" fontId="22" fillId="26" borderId="7" applyNumberFormat="0" applyFont="0" applyAlignment="0" applyProtection="0"/>
    <xf numFmtId="0" fontId="13" fillId="27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24" fillId="0" borderId="0" applyFill="0" applyBorder="0" applyAlignment="0" applyProtection="0"/>
    <xf numFmtId="0" fontId="22" fillId="0" borderId="0"/>
    <xf numFmtId="0" fontId="25" fillId="0" borderId="0"/>
    <xf numFmtId="43" fontId="22" fillId="0" borderId="0" applyFill="0" applyBorder="0" applyAlignment="0" applyProtection="0"/>
    <xf numFmtId="0" fontId="22" fillId="0" borderId="0"/>
    <xf numFmtId="0" fontId="1" fillId="0" borderId="0"/>
  </cellStyleXfs>
  <cellXfs count="367">
    <xf numFmtId="0" fontId="0" fillId="0" borderId="0" xfId="0"/>
    <xf numFmtId="0" fontId="0" fillId="0" borderId="0" xfId="0" applyFont="1"/>
    <xf numFmtId="0" fontId="20" fillId="0" borderId="0" xfId="0" applyFont="1"/>
    <xf numFmtId="3" fontId="20" fillId="0" borderId="0" xfId="0" applyNumberFormat="1" applyFont="1"/>
    <xf numFmtId="0" fontId="26" fillId="0" borderId="0" xfId="50" applyFont="1" applyAlignment="1">
      <alignment horizontal="center" wrapText="1"/>
    </xf>
    <xf numFmtId="0" fontId="27" fillId="0" borderId="0" xfId="50" applyFont="1"/>
    <xf numFmtId="0" fontId="27" fillId="0" borderId="12" xfId="50" applyFont="1" applyBorder="1"/>
    <xf numFmtId="3" fontId="26" fillId="0" borderId="12" xfId="50" applyNumberFormat="1" applyFont="1" applyBorder="1" applyAlignment="1">
      <alignment horizontal="right" wrapText="1"/>
    </xf>
    <xf numFmtId="3" fontId="27" fillId="0" borderId="12" xfId="50" applyNumberFormat="1" applyFont="1" applyBorder="1"/>
    <xf numFmtId="3" fontId="26" fillId="29" borderId="12" xfId="50" applyNumberFormat="1" applyFont="1" applyFill="1" applyBorder="1" applyAlignment="1">
      <alignment horizontal="right" wrapText="1"/>
    </xf>
    <xf numFmtId="0" fontId="27" fillId="29" borderId="12" xfId="50" applyFont="1" applyFill="1" applyBorder="1"/>
    <xf numFmtId="3" fontId="0" fillId="0" borderId="0" xfId="0" applyNumberFormat="1" applyFont="1"/>
    <xf numFmtId="0" fontId="0" fillId="0" borderId="0" xfId="0" applyFont="1" applyFill="1"/>
    <xf numFmtId="0" fontId="20" fillId="0" borderId="0" xfId="0" applyFont="1" applyFill="1"/>
    <xf numFmtId="3" fontId="20" fillId="0" borderId="12" xfId="0" applyNumberFormat="1" applyFont="1" applyFill="1" applyBorder="1" applyAlignment="1">
      <alignment horizontal="right" wrapText="1"/>
    </xf>
    <xf numFmtId="3" fontId="20" fillId="0" borderId="12" xfId="0" applyNumberFormat="1" applyFont="1" applyFill="1" applyBorder="1"/>
    <xf numFmtId="3" fontId="20" fillId="0" borderId="12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>
      <alignment horizontal="right"/>
    </xf>
    <xf numFmtId="3" fontId="20" fillId="0" borderId="16" xfId="0" applyNumberFormat="1" applyFont="1" applyFill="1" applyBorder="1"/>
    <xf numFmtId="3" fontId="20" fillId="0" borderId="18" xfId="0" applyNumberFormat="1" applyFont="1" applyFill="1" applyBorder="1"/>
    <xf numFmtId="3" fontId="0" fillId="0" borderId="23" xfId="0" applyNumberFormat="1" applyFont="1" applyFill="1" applyBorder="1"/>
    <xf numFmtId="3" fontId="28" fillId="0" borderId="23" xfId="0" applyNumberFormat="1" applyFont="1" applyFill="1" applyBorder="1"/>
    <xf numFmtId="3" fontId="0" fillId="0" borderId="0" xfId="0" applyNumberFormat="1" applyFont="1" applyFill="1" applyBorder="1"/>
    <xf numFmtId="0" fontId="0" fillId="0" borderId="12" xfId="0" applyFont="1" applyFill="1" applyBorder="1"/>
    <xf numFmtId="0" fontId="20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 wrapText="1"/>
    </xf>
    <xf numFmtId="3" fontId="20" fillId="0" borderId="16" xfId="0" applyNumberFormat="1" applyFont="1" applyFill="1" applyBorder="1" applyAlignment="1">
      <alignment horizontal="right" wrapText="1"/>
    </xf>
    <xf numFmtId="3" fontId="20" fillId="0" borderId="19" xfId="0" applyNumberFormat="1" applyFont="1" applyFill="1" applyBorder="1"/>
    <xf numFmtId="49" fontId="0" fillId="0" borderId="0" xfId="0" applyNumberFormat="1" applyFont="1" applyFill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49" fontId="20" fillId="0" borderId="14" xfId="0" applyNumberFormat="1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left" wrapText="1"/>
    </xf>
    <xf numFmtId="49" fontId="20" fillId="0" borderId="17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3" fontId="26" fillId="0" borderId="12" xfId="50" applyNumberFormat="1" applyFont="1" applyBorder="1"/>
    <xf numFmtId="0" fontId="26" fillId="0" borderId="20" xfId="50" applyFont="1" applyBorder="1" applyAlignment="1">
      <alignment horizontal="center" vertical="center" wrapText="1"/>
    </xf>
    <xf numFmtId="0" fontId="26" fillId="0" borderId="21" xfId="50" applyFont="1" applyBorder="1" applyAlignment="1">
      <alignment horizontal="center" vertical="center" wrapText="1"/>
    </xf>
    <xf numFmtId="0" fontId="27" fillId="0" borderId="14" xfId="50" applyFont="1" applyBorder="1" applyAlignment="1">
      <alignment horizontal="left" wrapText="1"/>
    </xf>
    <xf numFmtId="3" fontId="27" fillId="0" borderId="16" xfId="50" applyNumberFormat="1" applyFont="1" applyBorder="1"/>
    <xf numFmtId="0" fontId="26" fillId="0" borderId="14" xfId="50" applyFont="1" applyBorder="1" applyAlignment="1">
      <alignment horizontal="left" wrapText="1"/>
    </xf>
    <xf numFmtId="0" fontId="26" fillId="29" borderId="14" xfId="50" applyFont="1" applyFill="1" applyBorder="1" applyAlignment="1">
      <alignment horizontal="left" wrapText="1"/>
    </xf>
    <xf numFmtId="0" fontId="26" fillId="29" borderId="17" xfId="50" applyFont="1" applyFill="1" applyBorder="1" applyAlignment="1">
      <alignment horizontal="left" wrapText="1"/>
    </xf>
    <xf numFmtId="3" fontId="26" fillId="29" borderId="18" xfId="5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0" fontId="27" fillId="0" borderId="0" xfId="50" applyFont="1" applyAlignment="1">
      <alignment horizontal="center" vertical="center"/>
    </xf>
    <xf numFmtId="0" fontId="26" fillId="0" borderId="0" xfId="50" applyFont="1"/>
    <xf numFmtId="0" fontId="26" fillId="29" borderId="0" xfId="50" applyFont="1" applyFill="1" applyBorder="1"/>
    <xf numFmtId="0" fontId="26" fillId="29" borderId="0" xfId="50" applyFont="1" applyFill="1"/>
    <xf numFmtId="0" fontId="27" fillId="0" borderId="0" xfId="50" applyFont="1" applyAlignment="1">
      <alignment wrapText="1"/>
    </xf>
    <xf numFmtId="0" fontId="26" fillId="29" borderId="12" xfId="50" applyFont="1" applyFill="1" applyBorder="1"/>
    <xf numFmtId="0" fontId="26" fillId="0" borderId="21" xfId="50" applyFont="1" applyBorder="1" applyAlignment="1">
      <alignment horizontal="center" vertical="center"/>
    </xf>
    <xf numFmtId="0" fontId="26" fillId="0" borderId="22" xfId="50" applyFont="1" applyBorder="1" applyAlignment="1">
      <alignment horizontal="center" vertical="center"/>
    </xf>
    <xf numFmtId="0" fontId="27" fillId="29" borderId="14" xfId="49" applyFont="1" applyFill="1" applyBorder="1" applyAlignment="1">
      <alignment wrapText="1"/>
    </xf>
    <xf numFmtId="0" fontId="26" fillId="0" borderId="14" xfId="49" applyFont="1" applyBorder="1" applyAlignment="1">
      <alignment horizontal="left" wrapText="1"/>
    </xf>
    <xf numFmtId="3" fontId="27" fillId="0" borderId="14" xfId="43" applyNumberFormat="1" applyFont="1" applyFill="1" applyBorder="1" applyAlignment="1">
      <alignment wrapText="1"/>
    </xf>
    <xf numFmtId="0" fontId="27" fillId="0" borderId="11" xfId="50" applyFont="1" applyBorder="1"/>
    <xf numFmtId="0" fontId="27" fillId="0" borderId="13" xfId="50" applyFont="1" applyBorder="1"/>
    <xf numFmtId="0" fontId="27" fillId="0" borderId="0" xfId="50" applyFont="1" applyBorder="1"/>
    <xf numFmtId="0" fontId="27" fillId="0" borderId="10" xfId="50" applyFont="1" applyBorder="1"/>
    <xf numFmtId="0" fontId="26" fillId="29" borderId="20" xfId="50" applyFont="1" applyFill="1" applyBorder="1" applyAlignment="1">
      <alignment horizontal="center" vertical="center" wrapText="1"/>
    </xf>
    <xf numFmtId="0" fontId="26" fillId="29" borderId="14" xfId="50" applyFont="1" applyFill="1" applyBorder="1" applyAlignment="1">
      <alignment wrapText="1"/>
    </xf>
    <xf numFmtId="0" fontId="27" fillId="29" borderId="14" xfId="50" applyFont="1" applyFill="1" applyBorder="1" applyAlignment="1">
      <alignment wrapText="1"/>
    </xf>
    <xf numFmtId="0" fontId="29" fillId="29" borderId="0" xfId="50" applyFont="1" applyFill="1" applyBorder="1"/>
    <xf numFmtId="164" fontId="27" fillId="29" borderId="14" xfId="49" applyNumberFormat="1" applyFont="1" applyFill="1" applyBorder="1" applyAlignment="1">
      <alignment wrapText="1"/>
    </xf>
    <xf numFmtId="3" fontId="27" fillId="29" borderId="12" xfId="50" applyNumberFormat="1" applyFont="1" applyFill="1" applyBorder="1" applyAlignment="1">
      <alignment horizontal="right" wrapText="1"/>
    </xf>
    <xf numFmtId="0" fontId="30" fillId="29" borderId="12" xfId="50" applyFont="1" applyFill="1" applyBorder="1"/>
    <xf numFmtId="0" fontId="30" fillId="29" borderId="0" xfId="50" applyFont="1" applyFill="1" applyBorder="1"/>
    <xf numFmtId="3" fontId="27" fillId="0" borderId="12" xfId="50" applyNumberFormat="1" applyFont="1" applyFill="1" applyBorder="1" applyAlignment="1">
      <alignment horizontal="right" wrapText="1"/>
    </xf>
    <xf numFmtId="3" fontId="26" fillId="29" borderId="12" xfId="50" applyNumberFormat="1" applyFont="1" applyFill="1" applyBorder="1" applyAlignment="1">
      <alignment vertical="center"/>
    </xf>
    <xf numFmtId="0" fontId="26" fillId="29" borderId="0" xfId="50" applyFont="1" applyFill="1" applyBorder="1" applyAlignment="1">
      <alignment vertical="center"/>
    </xf>
    <xf numFmtId="0" fontId="27" fillId="29" borderId="12" xfId="50" applyFont="1" applyFill="1" applyBorder="1" applyAlignment="1">
      <alignment vertical="center" wrapText="1"/>
    </xf>
    <xf numFmtId="0" fontId="27" fillId="29" borderId="0" xfId="50" applyFont="1" applyFill="1" applyBorder="1" applyAlignment="1">
      <alignment vertical="center" wrapText="1"/>
    </xf>
    <xf numFmtId="0" fontId="27" fillId="29" borderId="12" xfId="50" applyFont="1" applyFill="1" applyBorder="1" applyAlignment="1">
      <alignment vertical="center"/>
    </xf>
    <xf numFmtId="0" fontId="27" fillId="29" borderId="0" xfId="50" applyFont="1" applyFill="1" applyBorder="1" applyAlignment="1">
      <alignment vertical="center"/>
    </xf>
    <xf numFmtId="164" fontId="27" fillId="29" borderId="14" xfId="50" applyNumberFormat="1" applyFont="1" applyFill="1" applyBorder="1" applyAlignment="1">
      <alignment wrapText="1"/>
    </xf>
    <xf numFmtId="0" fontId="27" fillId="29" borderId="14" xfId="49" applyFont="1" applyFill="1" applyBorder="1" applyAlignment="1">
      <alignment horizontal="left" wrapText="1"/>
    </xf>
    <xf numFmtId="0" fontId="26" fillId="29" borderId="14" xfId="49" applyFont="1" applyFill="1" applyBorder="1" applyAlignment="1">
      <alignment wrapText="1"/>
    </xf>
    <xf numFmtId="3" fontId="27" fillId="29" borderId="12" xfId="50" applyNumberFormat="1" applyFont="1" applyFill="1" applyBorder="1" applyAlignment="1">
      <alignment vertical="center"/>
    </xf>
    <xf numFmtId="0" fontId="26" fillId="29" borderId="12" xfId="50" applyFont="1" applyFill="1" applyBorder="1" applyAlignment="1">
      <alignment vertical="center"/>
    </xf>
    <xf numFmtId="3" fontId="26" fillId="29" borderId="0" xfId="50" applyNumberFormat="1" applyFont="1" applyFill="1" applyBorder="1" applyAlignment="1">
      <alignment vertical="center"/>
    </xf>
    <xf numFmtId="0" fontId="27" fillId="0" borderId="14" xfId="50" applyFont="1" applyBorder="1"/>
    <xf numFmtId="0" fontId="27" fillId="0" borderId="17" xfId="50" applyFont="1" applyBorder="1"/>
    <xf numFmtId="3" fontId="27" fillId="0" borderId="0" xfId="50" applyNumberFormat="1" applyFont="1" applyBorder="1"/>
    <xf numFmtId="3" fontId="27" fillId="0" borderId="12" xfId="50" applyNumberFormat="1" applyFont="1" applyFill="1" applyBorder="1"/>
    <xf numFmtId="3" fontId="26" fillId="0" borderId="12" xfId="50" applyNumberFormat="1" applyFont="1" applyFill="1" applyBorder="1" applyAlignment="1">
      <alignment horizontal="right" wrapText="1"/>
    </xf>
    <xf numFmtId="3" fontId="26" fillId="0" borderId="18" xfId="50" applyNumberFormat="1" applyFont="1" applyFill="1" applyBorder="1" applyAlignment="1">
      <alignment horizontal="right" wrapText="1"/>
    </xf>
    <xf numFmtId="0" fontId="26" fillId="0" borderId="20" xfId="50" applyFont="1" applyFill="1" applyBorder="1" applyAlignment="1">
      <alignment horizontal="center" vertical="center" wrapText="1"/>
    </xf>
    <xf numFmtId="0" fontId="26" fillId="0" borderId="14" xfId="50" applyFont="1" applyFill="1" applyBorder="1" applyAlignment="1">
      <alignment horizontal="left" vertical="center" wrapText="1" indent="1"/>
    </xf>
    <xf numFmtId="0" fontId="27" fillId="0" borderId="12" xfId="44" applyFont="1" applyBorder="1"/>
    <xf numFmtId="0" fontId="27" fillId="0" borderId="16" xfId="44" applyFont="1" applyBorder="1"/>
    <xf numFmtId="0" fontId="26" fillId="0" borderId="14" xfId="50" applyFont="1" applyFill="1" applyBorder="1" applyAlignment="1">
      <alignment horizontal="left" vertical="center" wrapText="1" indent="2"/>
    </xf>
    <xf numFmtId="3" fontId="27" fillId="0" borderId="12" xfId="0" applyNumberFormat="1" applyFont="1" applyBorder="1"/>
    <xf numFmtId="0" fontId="27" fillId="0" borderId="14" xfId="50" applyFont="1" applyFill="1" applyBorder="1"/>
    <xf numFmtId="0" fontId="27" fillId="0" borderId="14" xfId="50" applyFont="1" applyFill="1" applyBorder="1" applyAlignment="1">
      <alignment horizontal="left" vertical="center" wrapText="1" indent="2"/>
    </xf>
    <xf numFmtId="0" fontId="27" fillId="0" borderId="14" xfId="50" applyFont="1" applyFill="1" applyBorder="1" applyAlignment="1">
      <alignment horizontal="left" vertical="center" wrapText="1" indent="1"/>
    </xf>
    <xf numFmtId="3" fontId="27" fillId="0" borderId="14" xfId="50" applyNumberFormat="1" applyFont="1" applyFill="1" applyBorder="1" applyAlignment="1">
      <alignment horizontal="left" vertical="center" wrapText="1" indent="1"/>
    </xf>
    <xf numFmtId="3" fontId="27" fillId="0" borderId="12" xfId="44" applyNumberFormat="1" applyFont="1" applyBorder="1"/>
    <xf numFmtId="0" fontId="26" fillId="0" borderId="17" xfId="50" applyFont="1" applyFill="1" applyBorder="1" applyAlignment="1">
      <alignment horizontal="left" vertical="center" wrapText="1" indent="1"/>
    </xf>
    <xf numFmtId="3" fontId="26" fillId="0" borderId="18" xfId="44" applyNumberFormat="1" applyFont="1" applyBorder="1"/>
    <xf numFmtId="3" fontId="26" fillId="0" borderId="20" xfId="43" applyNumberFormat="1" applyFont="1" applyBorder="1" applyAlignment="1">
      <alignment horizontal="center" wrapText="1"/>
    </xf>
    <xf numFmtId="3" fontId="26" fillId="30" borderId="12" xfId="49" applyNumberFormat="1" applyFont="1" applyFill="1" applyBorder="1" applyAlignment="1">
      <alignment horizontal="right" vertical="center" wrapText="1"/>
    </xf>
    <xf numFmtId="3" fontId="27" fillId="0" borderId="12" xfId="86" applyNumberFormat="1" applyFont="1" applyBorder="1"/>
    <xf numFmtId="3" fontId="27" fillId="0" borderId="14" xfId="86" applyNumberFormat="1" applyFont="1" applyBorder="1" applyAlignment="1">
      <alignment horizontal="left" wrapText="1"/>
    </xf>
    <xf numFmtId="3" fontId="27" fillId="30" borderId="12" xfId="49" applyNumberFormat="1" applyFont="1" applyFill="1" applyBorder="1" applyAlignment="1">
      <alignment horizontal="right" vertical="center" wrapText="1"/>
    </xf>
    <xf numFmtId="3" fontId="29" fillId="0" borderId="14" xfId="86" applyNumberFormat="1" applyFont="1" applyBorder="1" applyAlignment="1">
      <alignment horizontal="left" wrapText="1"/>
    </xf>
    <xf numFmtId="3" fontId="29" fillId="30" borderId="12" xfId="49" applyNumberFormat="1" applyFont="1" applyFill="1" applyBorder="1" applyAlignment="1">
      <alignment horizontal="right" vertical="center" wrapText="1"/>
    </xf>
    <xf numFmtId="3" fontId="26" fillId="0" borderId="14" xfId="0" applyNumberFormat="1" applyFont="1" applyFill="1" applyBorder="1" applyAlignment="1">
      <alignment horizontal="left" wrapText="1"/>
    </xf>
    <xf numFmtId="3" fontId="26" fillId="0" borderId="12" xfId="86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left" wrapText="1"/>
    </xf>
    <xf numFmtId="3" fontId="27" fillId="0" borderId="12" xfId="86" applyNumberFormat="1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left" wrapText="1"/>
    </xf>
    <xf numFmtId="3" fontId="29" fillId="0" borderId="12" xfId="86" applyNumberFormat="1" applyFont="1" applyFill="1" applyBorder="1" applyAlignment="1">
      <alignment horizontal="right"/>
    </xf>
    <xf numFmtId="3" fontId="26" fillId="0" borderId="12" xfId="86" applyNumberFormat="1" applyFont="1" applyFill="1" applyBorder="1" applyAlignment="1"/>
    <xf numFmtId="3" fontId="27" fillId="0" borderId="12" xfId="86" applyNumberFormat="1" applyFont="1" applyFill="1" applyBorder="1"/>
    <xf numFmtId="3" fontId="27" fillId="0" borderId="12" xfId="86" applyNumberFormat="1" applyFont="1" applyFill="1" applyBorder="1" applyAlignment="1"/>
    <xf numFmtId="3" fontId="26" fillId="0" borderId="14" xfId="43" applyNumberFormat="1" applyFont="1" applyBorder="1" applyAlignment="1">
      <alignment wrapText="1"/>
    </xf>
    <xf numFmtId="3" fontId="26" fillId="0" borderId="12" xfId="43" applyNumberFormat="1" applyFont="1" applyFill="1" applyBorder="1" applyAlignment="1"/>
    <xf numFmtId="3" fontId="27" fillId="0" borderId="12" xfId="43" applyNumberFormat="1" applyFont="1" applyFill="1" applyBorder="1" applyAlignment="1"/>
    <xf numFmtId="3" fontId="27" fillId="0" borderId="0" xfId="44" applyNumberFormat="1" applyFont="1"/>
    <xf numFmtId="3" fontId="27" fillId="0" borderId="0" xfId="44" applyNumberFormat="1" applyFont="1" applyAlignment="1">
      <alignment wrapText="1"/>
    </xf>
    <xf numFmtId="3" fontId="26" fillId="0" borderId="20" xfId="44" applyNumberFormat="1" applyFont="1" applyBorder="1" applyAlignment="1">
      <alignment wrapText="1"/>
    </xf>
    <xf numFmtId="3" fontId="26" fillId="0" borderId="21" xfId="44" applyNumberFormat="1" applyFont="1" applyBorder="1" applyAlignment="1">
      <alignment wrapText="1"/>
    </xf>
    <xf numFmtId="3" fontId="27" fillId="29" borderId="14" xfId="50" applyNumberFormat="1" applyFont="1" applyFill="1" applyBorder="1" applyAlignment="1">
      <alignment wrapText="1"/>
    </xf>
    <xf numFmtId="3" fontId="27" fillId="0" borderId="12" xfId="44" applyNumberFormat="1" applyFont="1" applyBorder="1" applyAlignment="1">
      <alignment wrapText="1"/>
    </xf>
    <xf numFmtId="3" fontId="27" fillId="0" borderId="16" xfId="44" applyNumberFormat="1" applyFont="1" applyBorder="1"/>
    <xf numFmtId="3" fontId="27" fillId="0" borderId="14" xfId="44" applyNumberFormat="1" applyFont="1" applyBorder="1" applyAlignment="1">
      <alignment wrapText="1"/>
    </xf>
    <xf numFmtId="3" fontId="27" fillId="29" borderId="14" xfId="49" applyNumberFormat="1" applyFont="1" applyFill="1" applyBorder="1" applyAlignment="1">
      <alignment wrapText="1"/>
    </xf>
    <xf numFmtId="3" fontId="26" fillId="0" borderId="14" xfId="44" applyNumberFormat="1" applyFont="1" applyBorder="1" applyAlignment="1">
      <alignment wrapText="1"/>
    </xf>
    <xf numFmtId="3" fontId="26" fillId="0" borderId="12" xfId="44" applyNumberFormat="1" applyFont="1" applyBorder="1"/>
    <xf numFmtId="3" fontId="26" fillId="0" borderId="12" xfId="44" applyNumberFormat="1" applyFont="1" applyBorder="1" applyAlignment="1">
      <alignment wrapText="1"/>
    </xf>
    <xf numFmtId="3" fontId="26" fillId="0" borderId="16" xfId="44" applyNumberFormat="1" applyFont="1" applyBorder="1"/>
    <xf numFmtId="3" fontId="26" fillId="0" borderId="0" xfId="44" applyNumberFormat="1" applyFont="1"/>
    <xf numFmtId="3" fontId="26" fillId="0" borderId="17" xfId="44" applyNumberFormat="1" applyFont="1" applyBorder="1" applyAlignment="1">
      <alignment wrapText="1"/>
    </xf>
    <xf numFmtId="3" fontId="26" fillId="0" borderId="18" xfId="44" applyNumberFormat="1" applyFont="1" applyBorder="1" applyAlignment="1">
      <alignment wrapText="1"/>
    </xf>
    <xf numFmtId="3" fontId="27" fillId="0" borderId="12" xfId="44" applyNumberFormat="1" applyFont="1" applyFill="1" applyBorder="1" applyAlignment="1">
      <alignment wrapText="1"/>
    </xf>
    <xf numFmtId="3" fontId="26" fillId="0" borderId="0" xfId="44" applyNumberFormat="1" applyFont="1" applyBorder="1" applyAlignment="1">
      <alignment wrapText="1"/>
    </xf>
    <xf numFmtId="3" fontId="26" fillId="0" borderId="0" xfId="44" applyNumberFormat="1" applyFont="1" applyBorder="1"/>
    <xf numFmtId="3" fontId="27" fillId="0" borderId="0" xfId="48" applyNumberFormat="1" applyFont="1" applyAlignment="1">
      <alignment wrapText="1"/>
    </xf>
    <xf numFmtId="3" fontId="27" fillId="0" borderId="0" xfId="48" applyNumberFormat="1" applyFont="1"/>
    <xf numFmtId="3" fontId="26" fillId="0" borderId="20" xfId="48" applyNumberFormat="1" applyFont="1" applyBorder="1" applyAlignment="1">
      <alignment wrapText="1"/>
    </xf>
    <xf numFmtId="3" fontId="26" fillId="0" borderId="21" xfId="48" applyNumberFormat="1" applyFont="1" applyBorder="1" applyAlignment="1">
      <alignment wrapText="1"/>
    </xf>
    <xf numFmtId="3" fontId="26" fillId="0" borderId="14" xfId="48" applyNumberFormat="1" applyFont="1" applyBorder="1" applyAlignment="1">
      <alignment wrapText="1"/>
    </xf>
    <xf numFmtId="3" fontId="26" fillId="29" borderId="12" xfId="51" applyNumberFormat="1" applyFont="1" applyFill="1" applyBorder="1" applyAlignment="1">
      <alignment horizontal="center" vertical="center" wrapText="1"/>
    </xf>
    <xf numFmtId="3" fontId="26" fillId="0" borderId="12" xfId="48" applyNumberFormat="1" applyFont="1" applyBorder="1" applyAlignment="1">
      <alignment wrapText="1"/>
    </xf>
    <xf numFmtId="3" fontId="27" fillId="0" borderId="16" xfId="48" applyNumberFormat="1" applyFont="1" applyBorder="1" applyAlignment="1">
      <alignment wrapText="1"/>
    </xf>
    <xf numFmtId="3" fontId="27" fillId="0" borderId="14" xfId="50" applyNumberFormat="1" applyFont="1" applyBorder="1" applyAlignment="1">
      <alignment horizontal="left" wrapText="1"/>
    </xf>
    <xf numFmtId="3" fontId="27" fillId="0" borderId="12" xfId="48" applyNumberFormat="1" applyFont="1" applyBorder="1"/>
    <xf numFmtId="3" fontId="27" fillId="0" borderId="12" xfId="46" applyNumberFormat="1" applyFont="1" applyBorder="1" applyAlignment="1">
      <alignment wrapText="1"/>
    </xf>
    <xf numFmtId="3" fontId="27" fillId="0" borderId="16" xfId="48" applyNumberFormat="1" applyFont="1" applyBorder="1"/>
    <xf numFmtId="3" fontId="27" fillId="0" borderId="14" xfId="46" applyNumberFormat="1" applyFont="1" applyBorder="1" applyAlignment="1">
      <alignment wrapText="1"/>
    </xf>
    <xf numFmtId="3" fontId="27" fillId="29" borderId="12" xfId="51" applyNumberFormat="1" applyFont="1" applyFill="1" applyBorder="1" applyAlignment="1">
      <alignment horizontal="right" wrapText="1"/>
    </xf>
    <xf numFmtId="3" fontId="26" fillId="0" borderId="12" xfId="48" applyNumberFormat="1" applyFont="1" applyBorder="1"/>
    <xf numFmtId="3" fontId="26" fillId="0" borderId="16" xfId="48" applyNumberFormat="1" applyFont="1" applyBorder="1"/>
    <xf numFmtId="3" fontId="26" fillId="0" borderId="0" xfId="48" applyNumberFormat="1" applyFont="1"/>
    <xf numFmtId="3" fontId="27" fillId="0" borderId="14" xfId="48" applyNumberFormat="1" applyFont="1" applyBorder="1" applyAlignment="1">
      <alignment wrapText="1"/>
    </xf>
    <xf numFmtId="3" fontId="27" fillId="0" borderId="12" xfId="48" applyNumberFormat="1" applyFont="1" applyBorder="1" applyAlignment="1">
      <alignment wrapText="1"/>
    </xf>
    <xf numFmtId="3" fontId="27" fillId="0" borderId="12" xfId="46" applyNumberFormat="1" applyFont="1" applyFill="1" applyBorder="1" applyAlignment="1">
      <alignment wrapText="1"/>
    </xf>
    <xf numFmtId="3" fontId="26" fillId="0" borderId="17" xfId="48" applyNumberFormat="1" applyFont="1" applyBorder="1" applyAlignment="1">
      <alignment wrapText="1"/>
    </xf>
    <xf numFmtId="3" fontId="26" fillId="0" borderId="18" xfId="48" applyNumberFormat="1" applyFont="1" applyBorder="1"/>
    <xf numFmtId="3" fontId="26" fillId="0" borderId="18" xfId="48" applyNumberFormat="1" applyFont="1" applyBorder="1" applyAlignment="1">
      <alignment wrapText="1"/>
    </xf>
    <xf numFmtId="3" fontId="27" fillId="0" borderId="18" xfId="48" applyNumberFormat="1" applyFont="1" applyBorder="1"/>
    <xf numFmtId="3" fontId="27" fillId="0" borderId="19" xfId="48" applyNumberFormat="1" applyFont="1" applyBorder="1"/>
    <xf numFmtId="3" fontId="27" fillId="29" borderId="0" xfId="50" applyNumberFormat="1" applyFont="1" applyFill="1" applyBorder="1" applyAlignment="1">
      <alignment horizontal="right" wrapText="1"/>
    </xf>
    <xf numFmtId="3" fontId="27" fillId="0" borderId="0" xfId="86" applyNumberFormat="1" applyFont="1" applyBorder="1"/>
    <xf numFmtId="3" fontId="27" fillId="0" borderId="0" xfId="86" applyNumberFormat="1" applyFont="1" applyFill="1" applyBorder="1"/>
    <xf numFmtId="3" fontId="27" fillId="0" borderId="0" xfId="43" applyNumberFormat="1" applyFont="1" applyAlignment="1">
      <alignment wrapText="1"/>
    </xf>
    <xf numFmtId="3" fontId="27" fillId="0" borderId="0" xfId="43" applyNumberFormat="1" applyFont="1"/>
    <xf numFmtId="3" fontId="32" fillId="0" borderId="0" xfId="43" applyNumberFormat="1" applyFont="1" applyAlignment="1">
      <alignment horizontal="center"/>
    </xf>
    <xf numFmtId="3" fontId="32" fillId="0" borderId="0" xfId="86" applyNumberFormat="1" applyFont="1" applyBorder="1" applyAlignment="1">
      <alignment horizontal="center"/>
    </xf>
    <xf numFmtId="3" fontId="32" fillId="0" borderId="0" xfId="86" applyNumberFormat="1" applyFont="1" applyFill="1" applyBorder="1" applyAlignment="1">
      <alignment horizontal="center"/>
    </xf>
    <xf numFmtId="3" fontId="31" fillId="0" borderId="0" xfId="43" applyNumberFormat="1" applyFont="1" applyFill="1" applyAlignment="1">
      <alignment horizontal="center"/>
    </xf>
    <xf numFmtId="3" fontId="31" fillId="0" borderId="0" xfId="43" applyNumberFormat="1" applyFont="1" applyAlignment="1">
      <alignment horizontal="center"/>
    </xf>
    <xf numFmtId="3" fontId="26" fillId="0" borderId="0" xfId="43" applyNumberFormat="1" applyFont="1" applyFill="1"/>
    <xf numFmtId="3" fontId="26" fillId="0" borderId="12" xfId="43" applyNumberFormat="1" applyFont="1" applyBorder="1"/>
    <xf numFmtId="3" fontId="26" fillId="0" borderId="0" xfId="43" applyNumberFormat="1" applyFont="1"/>
    <xf numFmtId="3" fontId="26" fillId="0" borderId="12" xfId="86" applyNumberFormat="1" applyFont="1" applyFill="1" applyBorder="1"/>
    <xf numFmtId="3" fontId="27" fillId="0" borderId="12" xfId="43" applyNumberFormat="1" applyFont="1" applyBorder="1"/>
    <xf numFmtId="3" fontId="26" fillId="0" borderId="12" xfId="0" applyNumberFormat="1" applyFont="1" applyBorder="1"/>
    <xf numFmtId="3" fontId="27" fillId="0" borderId="0" xfId="50" applyNumberFormat="1" applyFont="1" applyFill="1" applyBorder="1" applyAlignment="1">
      <alignment horizontal="right" wrapText="1"/>
    </xf>
    <xf numFmtId="3" fontId="26" fillId="0" borderId="0" xfId="50" applyNumberFormat="1" applyFont="1" applyFill="1" applyBorder="1" applyAlignment="1">
      <alignment horizontal="right" wrapText="1"/>
    </xf>
    <xf numFmtId="0" fontId="27" fillId="0" borderId="0" xfId="44" applyFont="1"/>
    <xf numFmtId="0" fontId="26" fillId="0" borderId="0" xfId="44" applyFont="1"/>
    <xf numFmtId="0" fontId="26" fillId="0" borderId="0" xfId="50" applyFont="1" applyFill="1" applyBorder="1"/>
    <xf numFmtId="0" fontId="27" fillId="0" borderId="0" xfId="50" applyFont="1" applyFill="1" applyBorder="1"/>
    <xf numFmtId="3" fontId="27" fillId="29" borderId="12" xfId="50" applyNumberFormat="1" applyFont="1" applyFill="1" applyBorder="1"/>
    <xf numFmtId="3" fontId="26" fillId="0" borderId="0" xfId="50" applyNumberFormat="1" applyFont="1"/>
    <xf numFmtId="3" fontId="27" fillId="0" borderId="0" xfId="50" applyNumberFormat="1" applyFont="1"/>
    <xf numFmtId="3" fontId="29" fillId="0" borderId="14" xfId="86" applyNumberFormat="1" applyFont="1" applyFill="1" applyBorder="1" applyAlignment="1">
      <alignment horizontal="left" wrapText="1"/>
    </xf>
    <xf numFmtId="3" fontId="29" fillId="0" borderId="12" xfId="49" applyNumberFormat="1" applyFont="1" applyFill="1" applyBorder="1" applyAlignment="1">
      <alignment horizontal="right" vertical="center" wrapText="1"/>
    </xf>
    <xf numFmtId="3" fontId="26" fillId="0" borderId="17" xfId="43" applyNumberFormat="1" applyFont="1" applyBorder="1" applyAlignment="1">
      <alignment horizontal="right" vertical="center" wrapText="1"/>
    </xf>
    <xf numFmtId="3" fontId="32" fillId="0" borderId="0" xfId="43" applyNumberFormat="1" applyFont="1" applyFill="1" applyAlignment="1">
      <alignment horizontal="right" vertical="center"/>
    </xf>
    <xf numFmtId="3" fontId="26" fillId="0" borderId="0" xfId="43" applyNumberFormat="1" applyFont="1" applyFill="1" applyAlignment="1">
      <alignment horizontal="right" vertical="center"/>
    </xf>
    <xf numFmtId="3" fontId="32" fillId="0" borderId="0" xfId="86" applyNumberFormat="1" applyFont="1" applyBorder="1" applyAlignment="1">
      <alignment horizontal="right" vertical="center"/>
    </xf>
    <xf numFmtId="3" fontId="27" fillId="0" borderId="0" xfId="86" applyNumberFormat="1" applyFont="1" applyBorder="1" applyAlignment="1">
      <alignment horizontal="right" vertical="center"/>
    </xf>
    <xf numFmtId="3" fontId="26" fillId="0" borderId="14" xfId="86" applyNumberFormat="1" applyFont="1" applyBorder="1" applyAlignment="1">
      <alignment horizontal="left" vertical="center" wrapText="1"/>
    </xf>
    <xf numFmtId="0" fontId="26" fillId="0" borderId="12" xfId="50" applyFont="1" applyBorder="1" applyAlignment="1">
      <alignment horizontal="center" vertical="center" wrapText="1"/>
    </xf>
    <xf numFmtId="0" fontId="26" fillId="0" borderId="12" xfId="50" applyFont="1" applyBorder="1" applyAlignment="1">
      <alignment horizontal="center" vertical="center"/>
    </xf>
    <xf numFmtId="0" fontId="27" fillId="0" borderId="0" xfId="85" applyFont="1" applyFill="1"/>
    <xf numFmtId="0" fontId="27" fillId="0" borderId="0" xfId="0" applyFont="1"/>
    <xf numFmtId="0" fontId="26" fillId="0" borderId="20" xfId="85" applyFont="1" applyFill="1" applyBorder="1" applyAlignment="1">
      <alignment horizontal="center" vertical="center" wrapText="1"/>
    </xf>
    <xf numFmtId="0" fontId="26" fillId="0" borderId="14" xfId="85" applyFont="1" applyFill="1" applyBorder="1" applyAlignment="1">
      <alignment horizontal="left" vertical="center" wrapText="1"/>
    </xf>
    <xf numFmtId="0" fontId="27" fillId="0" borderId="14" xfId="85" applyFont="1" applyFill="1" applyBorder="1" applyAlignment="1">
      <alignment wrapText="1"/>
    </xf>
    <xf numFmtId="3" fontId="27" fillId="0" borderId="12" xfId="0" applyNumberFormat="1" applyFont="1" applyFill="1" applyBorder="1"/>
    <xf numFmtId="3" fontId="27" fillId="0" borderId="16" xfId="0" applyNumberFormat="1" applyFont="1" applyBorder="1"/>
    <xf numFmtId="3" fontId="27" fillId="0" borderId="0" xfId="0" applyNumberFormat="1" applyFont="1"/>
    <xf numFmtId="0" fontId="27" fillId="0" borderId="12" xfId="0" applyFont="1" applyBorder="1"/>
    <xf numFmtId="49" fontId="27" fillId="0" borderId="14" xfId="85" applyNumberFormat="1" applyFont="1" applyFill="1" applyBorder="1" applyAlignment="1">
      <alignment wrapText="1"/>
    </xf>
    <xf numFmtId="0" fontId="27" fillId="0" borderId="14" xfId="85" applyFont="1" applyFill="1" applyBorder="1"/>
    <xf numFmtId="0" fontId="26" fillId="0" borderId="14" xfId="49" applyFont="1" applyFill="1" applyBorder="1" applyAlignment="1">
      <alignment horizontal="left" vertical="center" wrapText="1" indent="1"/>
    </xf>
    <xf numFmtId="3" fontId="26" fillId="0" borderId="12" xfId="0" applyNumberFormat="1" applyFont="1" applyFill="1" applyBorder="1"/>
    <xf numFmtId="0" fontId="26" fillId="0" borderId="14" xfId="85" applyFont="1" applyFill="1" applyBorder="1" applyAlignment="1">
      <alignment wrapText="1"/>
    </xf>
    <xf numFmtId="0" fontId="26" fillId="0" borderId="17" xfId="85" applyFont="1" applyFill="1" applyBorder="1"/>
    <xf numFmtId="3" fontId="26" fillId="0" borderId="18" xfId="85" applyNumberFormat="1" applyFont="1" applyFill="1" applyBorder="1"/>
    <xf numFmtId="0" fontId="27" fillId="0" borderId="15" xfId="85" applyFont="1" applyFill="1" applyBorder="1"/>
    <xf numFmtId="0" fontId="26" fillId="0" borderId="0" xfId="85" applyFont="1" applyFill="1"/>
    <xf numFmtId="3" fontId="27" fillId="0" borderId="0" xfId="85" applyNumberFormat="1" applyFont="1" applyFill="1"/>
    <xf numFmtId="0" fontId="26" fillId="0" borderId="0" xfId="50" applyFont="1" applyFill="1" applyBorder="1" applyAlignment="1">
      <alignment horizontal="left" vertical="center" wrapText="1" indent="1"/>
    </xf>
    <xf numFmtId="0" fontId="27" fillId="0" borderId="0" xfId="50" applyFont="1" applyFill="1" applyBorder="1" applyAlignment="1">
      <alignment horizontal="left" vertical="center" wrapText="1" indent="2"/>
    </xf>
    <xf numFmtId="3" fontId="27" fillId="0" borderId="0" xfId="50" applyNumberFormat="1" applyFont="1" applyFill="1" applyBorder="1" applyAlignment="1">
      <alignment horizontal="left" vertical="center" wrapText="1" indent="2"/>
    </xf>
    <xf numFmtId="0" fontId="27" fillId="0" borderId="12" xfId="50" applyFont="1" applyFill="1" applyBorder="1"/>
    <xf numFmtId="0" fontId="26" fillId="0" borderId="14" xfId="45" applyFont="1" applyFill="1" applyBorder="1"/>
    <xf numFmtId="3" fontId="26" fillId="29" borderId="12" xfId="45" applyNumberFormat="1" applyFont="1" applyFill="1" applyBorder="1" applyAlignment="1">
      <alignment horizontal="right"/>
    </xf>
    <xf numFmtId="4" fontId="26" fillId="0" borderId="12" xfId="45" applyNumberFormat="1" applyFont="1" applyFill="1" applyBorder="1"/>
    <xf numFmtId="3" fontId="26" fillId="0" borderId="12" xfId="0" applyNumberFormat="1" applyFont="1" applyBorder="1" applyAlignment="1">
      <alignment horizontal="right"/>
    </xf>
    <xf numFmtId="0" fontId="27" fillId="0" borderId="14" xfId="45" applyFont="1" applyFill="1" applyBorder="1"/>
    <xf numFmtId="4" fontId="27" fillId="0" borderId="12" xfId="45" applyNumberFormat="1" applyFont="1" applyFill="1" applyBorder="1"/>
    <xf numFmtId="3" fontId="27" fillId="29" borderId="12" xfId="45" applyNumberFormat="1" applyFont="1" applyFill="1" applyBorder="1"/>
    <xf numFmtId="3" fontId="27" fillId="0" borderId="12" xfId="0" applyNumberFormat="1" applyFont="1" applyBorder="1" applyAlignment="1">
      <alignment horizontal="right"/>
    </xf>
    <xf numFmtId="3" fontId="27" fillId="29" borderId="12" xfId="45" applyNumberFormat="1" applyFont="1" applyFill="1" applyBorder="1" applyAlignment="1">
      <alignment horizontal="right"/>
    </xf>
    <xf numFmtId="0" fontId="26" fillId="0" borderId="14" xfId="47" applyFont="1" applyFill="1" applyBorder="1"/>
    <xf numFmtId="0" fontId="27" fillId="0" borderId="12" xfId="45" applyFont="1" applyFill="1" applyBorder="1"/>
    <xf numFmtId="3" fontId="27" fillId="0" borderId="12" xfId="45" applyNumberFormat="1" applyFont="1" applyFill="1" applyBorder="1"/>
    <xf numFmtId="165" fontId="27" fillId="29" borderId="12" xfId="45" applyNumberFormat="1" applyFont="1" applyFill="1" applyBorder="1"/>
    <xf numFmtId="3" fontId="27" fillId="0" borderId="12" xfId="45" applyNumberFormat="1" applyFont="1" applyBorder="1"/>
    <xf numFmtId="165" fontId="26" fillId="29" borderId="12" xfId="45" applyNumberFormat="1" applyFont="1" applyFill="1" applyBorder="1"/>
    <xf numFmtId="0" fontId="26" fillId="0" borderId="14" xfId="0" applyFont="1" applyBorder="1"/>
    <xf numFmtId="3" fontId="26" fillId="0" borderId="12" xfId="45" applyNumberFormat="1" applyFont="1" applyBorder="1"/>
    <xf numFmtId="0" fontId="27" fillId="0" borderId="14" xfId="0" applyFont="1" applyBorder="1"/>
    <xf numFmtId="0" fontId="27" fillId="0" borderId="14" xfId="45" applyFont="1" applyFill="1" applyBorder="1" applyAlignment="1">
      <alignment wrapText="1"/>
    </xf>
    <xf numFmtId="2" fontId="26" fillId="0" borderId="12" xfId="45" applyNumberFormat="1" applyFont="1" applyFill="1" applyBorder="1"/>
    <xf numFmtId="0" fontId="27" fillId="0" borderId="0" xfId="0" applyFont="1" applyFill="1"/>
    <xf numFmtId="0" fontId="27" fillId="0" borderId="12" xfId="45" applyFont="1" applyBorder="1"/>
    <xf numFmtId="3" fontId="26" fillId="0" borderId="14" xfId="45" applyNumberFormat="1" applyFont="1" applyFill="1" applyBorder="1"/>
    <xf numFmtId="0" fontId="26" fillId="0" borderId="12" xfId="45" applyFont="1" applyBorder="1"/>
    <xf numFmtId="3" fontId="27" fillId="0" borderId="14" xfId="45" applyNumberFormat="1" applyFont="1" applyFill="1" applyBorder="1"/>
    <xf numFmtId="0" fontId="26" fillId="0" borderId="17" xfId="45" applyFont="1" applyFill="1" applyBorder="1"/>
    <xf numFmtId="0" fontId="27" fillId="0" borderId="18" xfId="45" applyFont="1" applyBorder="1"/>
    <xf numFmtId="3" fontId="26" fillId="0" borderId="18" xfId="45" applyNumberFormat="1" applyFont="1" applyBorder="1"/>
    <xf numFmtId="3" fontId="27" fillId="29" borderId="12" xfId="50" applyNumberFormat="1" applyFont="1" applyFill="1" applyBorder="1" applyAlignment="1">
      <alignment horizontal="right"/>
    </xf>
    <xf numFmtId="0" fontId="27" fillId="0" borderId="14" xfId="50" applyFont="1" applyFill="1" applyBorder="1" applyAlignment="1">
      <alignment horizontal="left" wrapText="1"/>
    </xf>
    <xf numFmtId="0" fontId="26" fillId="0" borderId="0" xfId="50" applyFont="1" applyFill="1"/>
    <xf numFmtId="0" fontId="26" fillId="0" borderId="14" xfId="50" applyFont="1" applyFill="1" applyBorder="1" applyAlignment="1">
      <alignment horizontal="left" wrapText="1"/>
    </xf>
    <xf numFmtId="0" fontId="27" fillId="0" borderId="0" xfId="50" applyFont="1" applyFill="1"/>
    <xf numFmtId="0" fontId="29" fillId="0" borderId="14" xfId="50" applyFont="1" applyFill="1" applyBorder="1" applyAlignment="1">
      <alignment horizontal="left" wrapText="1"/>
    </xf>
    <xf numFmtId="3" fontId="26" fillId="0" borderId="20" xfId="44" applyNumberFormat="1" applyFont="1" applyBorder="1" applyAlignment="1">
      <alignment horizontal="center" vertical="center" wrapText="1"/>
    </xf>
    <xf numFmtId="3" fontId="26" fillId="0" borderId="21" xfId="44" applyNumberFormat="1" applyFont="1" applyBorder="1" applyAlignment="1">
      <alignment horizontal="center" vertical="center" wrapText="1"/>
    </xf>
    <xf numFmtId="3" fontId="27" fillId="0" borderId="20" xfId="48" applyNumberFormat="1" applyFont="1" applyBorder="1" applyAlignment="1">
      <alignment wrapText="1"/>
    </xf>
    <xf numFmtId="3" fontId="27" fillId="0" borderId="21" xfId="48" applyNumberFormat="1" applyFont="1" applyBorder="1"/>
    <xf numFmtId="3" fontId="27" fillId="0" borderId="22" xfId="48" applyNumberFormat="1" applyFont="1" applyBorder="1"/>
    <xf numFmtId="0" fontId="26" fillId="0" borderId="16" xfId="50" applyFont="1" applyBorder="1" applyAlignment="1">
      <alignment horizontal="center" vertical="center"/>
    </xf>
    <xf numFmtId="3" fontId="26" fillId="29" borderId="18" xfId="51" applyNumberFormat="1" applyFont="1" applyFill="1" applyBorder="1" applyAlignment="1">
      <alignment horizontal="center" vertical="center" wrapText="1"/>
    </xf>
    <xf numFmtId="3" fontId="29" fillId="29" borderId="12" xfId="50" applyNumberFormat="1" applyFont="1" applyFill="1" applyBorder="1" applyAlignment="1">
      <alignment horizontal="right" wrapText="1"/>
    </xf>
    <xf numFmtId="3" fontId="27" fillId="0" borderId="14" xfId="86" applyNumberFormat="1" applyFont="1" applyBorder="1" applyAlignment="1">
      <alignment horizontal="left" vertical="center" wrapText="1"/>
    </xf>
    <xf numFmtId="0" fontId="27" fillId="0" borderId="0" xfId="0" applyFont="1"/>
    <xf numFmtId="0" fontId="26" fillId="0" borderId="12" xfId="45" applyFont="1" applyFill="1" applyBorder="1"/>
    <xf numFmtId="3" fontId="26" fillId="0" borderId="12" xfId="45" applyNumberFormat="1" applyFont="1" applyFill="1" applyBorder="1"/>
    <xf numFmtId="3" fontId="26" fillId="29" borderId="12" xfId="45" applyNumberFormat="1" applyFont="1" applyFill="1" applyBorder="1"/>
    <xf numFmtId="0" fontId="27" fillId="0" borderId="14" xfId="47" applyFont="1" applyFill="1" applyBorder="1"/>
    <xf numFmtId="3" fontId="27" fillId="0" borderId="12" xfId="50" applyNumberFormat="1" applyFont="1" applyBorder="1"/>
    <xf numFmtId="3" fontId="29" fillId="30" borderId="12" xfId="49" applyNumberFormat="1" applyFont="1" applyFill="1" applyBorder="1" applyAlignment="1">
      <alignment horizontal="right" vertical="center" wrapText="1"/>
    </xf>
    <xf numFmtId="3" fontId="27" fillId="30" borderId="12" xfId="49" applyNumberFormat="1" applyFont="1" applyFill="1" applyBorder="1" applyAlignment="1">
      <alignment horizontal="right" vertical="center" wrapText="1"/>
    </xf>
    <xf numFmtId="3" fontId="27" fillId="29" borderId="12" xfId="50" applyNumberFormat="1" applyFont="1" applyFill="1" applyBorder="1" applyAlignment="1">
      <alignment horizontal="right" wrapText="1"/>
    </xf>
    <xf numFmtId="3" fontId="27" fillId="0" borderId="12" xfId="50" applyNumberFormat="1" applyFont="1" applyFill="1" applyBorder="1" applyAlignment="1">
      <alignment horizontal="right" wrapText="1"/>
    </xf>
    <xf numFmtId="3" fontId="26" fillId="0" borderId="12" xfId="50" applyNumberFormat="1" applyFont="1" applyFill="1" applyBorder="1" applyAlignment="1">
      <alignment horizontal="right" wrapText="1"/>
    </xf>
    <xf numFmtId="3" fontId="27" fillId="0" borderId="12" xfId="0" applyNumberFormat="1" applyFont="1" applyFill="1" applyBorder="1"/>
    <xf numFmtId="3" fontId="26" fillId="0" borderId="12" xfId="0" applyNumberFormat="1" applyFont="1" applyFill="1" applyBorder="1"/>
    <xf numFmtId="3" fontId="27" fillId="0" borderId="12" xfId="44" applyNumberFormat="1" applyFont="1" applyBorder="1"/>
    <xf numFmtId="3" fontId="26" fillId="0" borderId="12" xfId="0" applyNumberFormat="1" applyFont="1" applyFill="1" applyBorder="1" applyAlignment="1">
      <alignment horizontal="right" wrapText="1"/>
    </xf>
    <xf numFmtId="3" fontId="27" fillId="0" borderId="12" xfId="0" applyNumberFormat="1" applyFont="1" applyFill="1" applyBorder="1" applyAlignment="1">
      <alignment horizontal="right" wrapText="1"/>
    </xf>
    <xf numFmtId="3" fontId="29" fillId="0" borderId="12" xfId="0" applyNumberFormat="1" applyFont="1" applyFill="1" applyBorder="1"/>
    <xf numFmtId="0" fontId="26" fillId="0" borderId="0" xfId="0" applyFont="1" applyBorder="1" applyAlignment="1">
      <alignment horizontal="center"/>
    </xf>
    <xf numFmtId="0" fontId="26" fillId="0" borderId="21" xfId="50" applyFont="1" applyBorder="1" applyAlignment="1">
      <alignment horizontal="center" vertical="center"/>
    </xf>
    <xf numFmtId="0" fontId="26" fillId="0" borderId="12" xfId="50" applyFont="1" applyBorder="1" applyAlignment="1">
      <alignment horizontal="center" vertical="center"/>
    </xf>
    <xf numFmtId="0" fontId="26" fillId="0" borderId="25" xfId="50" applyFont="1" applyBorder="1" applyAlignment="1">
      <alignment horizontal="center" vertical="center"/>
    </xf>
    <xf numFmtId="3" fontId="27" fillId="0" borderId="26" xfId="48" applyNumberFormat="1" applyFont="1" applyBorder="1" applyAlignment="1">
      <alignment wrapText="1"/>
    </xf>
    <xf numFmtId="3" fontId="27" fillId="0" borderId="26" xfId="48" applyNumberFormat="1" applyFont="1" applyBorder="1"/>
    <xf numFmtId="3" fontId="26" fillId="0" borderId="26" xfId="48" applyNumberFormat="1" applyFont="1" applyBorder="1"/>
    <xf numFmtId="3" fontId="26" fillId="0" borderId="28" xfId="48" applyNumberFormat="1" applyFont="1" applyBorder="1"/>
    <xf numFmtId="3" fontId="27" fillId="0" borderId="25" xfId="48" applyNumberFormat="1" applyFont="1" applyBorder="1"/>
    <xf numFmtId="0" fontId="26" fillId="0" borderId="26" xfId="50" applyFont="1" applyBorder="1" applyAlignment="1">
      <alignment horizontal="center" vertical="center"/>
    </xf>
    <xf numFmtId="3" fontId="27" fillId="0" borderId="27" xfId="48" applyNumberFormat="1" applyFont="1" applyBorder="1"/>
    <xf numFmtId="0" fontId="26" fillId="0" borderId="25" xfId="50" applyFont="1" applyBorder="1" applyAlignment="1">
      <alignment horizontal="center" vertical="center" wrapText="1"/>
    </xf>
    <xf numFmtId="3" fontId="27" fillId="0" borderId="26" xfId="44" applyNumberFormat="1" applyFont="1" applyBorder="1"/>
    <xf numFmtId="3" fontId="26" fillId="0" borderId="26" xfId="44" applyNumberFormat="1" applyFont="1" applyBorder="1"/>
    <xf numFmtId="3" fontId="26" fillId="0" borderId="26" xfId="43" applyNumberFormat="1" applyFont="1" applyBorder="1"/>
    <xf numFmtId="0" fontId="27" fillId="0" borderId="26" xfId="44" applyFont="1" applyBorder="1"/>
    <xf numFmtId="3" fontId="27" fillId="0" borderId="26" xfId="50" applyNumberFormat="1" applyFont="1" applyFill="1" applyBorder="1" applyAlignment="1">
      <alignment horizontal="right" wrapText="1"/>
    </xf>
    <xf numFmtId="3" fontId="27" fillId="0" borderId="26" xfId="0" applyNumberFormat="1" applyFont="1" applyBorder="1"/>
    <xf numFmtId="3" fontId="26" fillId="0" borderId="26" xfId="45" applyNumberFormat="1" applyFont="1" applyBorder="1"/>
    <xf numFmtId="0" fontId="26" fillId="29" borderId="26" xfId="50" applyFont="1" applyFill="1" applyBorder="1"/>
    <xf numFmtId="0" fontId="30" fillId="29" borderId="26" xfId="50" applyFont="1" applyFill="1" applyBorder="1"/>
    <xf numFmtId="3" fontId="26" fillId="29" borderId="26" xfId="50" applyNumberFormat="1" applyFont="1" applyFill="1" applyBorder="1" applyAlignment="1">
      <alignment horizontal="right" wrapText="1"/>
    </xf>
    <xf numFmtId="0" fontId="27" fillId="29" borderId="26" xfId="50" applyFont="1" applyFill="1" applyBorder="1"/>
    <xf numFmtId="3" fontId="27" fillId="29" borderId="26" xfId="50" applyNumberFormat="1" applyFont="1" applyFill="1" applyBorder="1" applyAlignment="1">
      <alignment vertical="center"/>
    </xf>
    <xf numFmtId="0" fontId="27" fillId="29" borderId="26" xfId="50" applyFont="1" applyFill="1" applyBorder="1" applyAlignment="1">
      <alignment vertical="center" wrapText="1"/>
    </xf>
    <xf numFmtId="0" fontId="27" fillId="29" borderId="26" xfId="50" applyFont="1" applyFill="1" applyBorder="1" applyAlignment="1">
      <alignment vertical="center"/>
    </xf>
    <xf numFmtId="3" fontId="26" fillId="29" borderId="26" xfId="50" applyNumberFormat="1" applyFont="1" applyFill="1" applyBorder="1" applyAlignment="1">
      <alignment vertical="center"/>
    </xf>
    <xf numFmtId="0" fontId="26" fillId="29" borderId="26" xfId="50" applyFont="1" applyFill="1" applyBorder="1" applyAlignment="1">
      <alignment vertical="center"/>
    </xf>
    <xf numFmtId="3" fontId="27" fillId="0" borderId="26" xfId="50" applyNumberFormat="1" applyFont="1" applyBorder="1"/>
    <xf numFmtId="3" fontId="26" fillId="0" borderId="26" xfId="50" applyNumberFormat="1" applyFont="1" applyBorder="1"/>
    <xf numFmtId="0" fontId="27" fillId="0" borderId="26" xfId="50" applyFont="1" applyBorder="1"/>
    <xf numFmtId="0" fontId="27" fillId="0" borderId="26" xfId="50" applyFont="1" applyFill="1" applyBorder="1"/>
    <xf numFmtId="3" fontId="27" fillId="0" borderId="26" xfId="50" applyNumberFormat="1" applyFont="1" applyFill="1" applyBorder="1"/>
    <xf numFmtId="3" fontId="29" fillId="0" borderId="14" xfId="0" applyNumberFormat="1" applyFont="1" applyFill="1" applyBorder="1" applyAlignment="1">
      <alignment horizontal="left"/>
    </xf>
    <xf numFmtId="3" fontId="27" fillId="30" borderId="12" xfId="49" applyNumberFormat="1" applyFont="1" applyFill="1" applyBorder="1" applyAlignment="1">
      <alignment wrapText="1"/>
    </xf>
    <xf numFmtId="3" fontId="26" fillId="29" borderId="26" xfId="50" applyNumberFormat="1" applyFont="1" applyFill="1" applyBorder="1" applyAlignment="1"/>
    <xf numFmtId="3" fontId="26" fillId="29" borderId="12" xfId="50" applyNumberFormat="1" applyFont="1" applyFill="1" applyBorder="1" applyAlignment="1"/>
    <xf numFmtId="3" fontId="27" fillId="29" borderId="12" xfId="50" applyNumberFormat="1" applyFont="1" applyFill="1" applyBorder="1" applyAlignment="1"/>
    <xf numFmtId="0" fontId="27" fillId="29" borderId="12" xfId="50" applyFont="1" applyFill="1" applyBorder="1" applyAlignment="1"/>
    <xf numFmtId="0" fontId="26" fillId="0" borderId="0" xfId="0" applyFont="1" applyBorder="1" applyAlignment="1">
      <alignment horizontal="center"/>
    </xf>
    <xf numFmtId="0" fontId="26" fillId="0" borderId="21" xfId="50" applyFont="1" applyBorder="1" applyAlignment="1">
      <alignment horizontal="center" vertical="center"/>
    </xf>
    <xf numFmtId="0" fontId="26" fillId="0" borderId="12" xfId="50" applyFont="1" applyBorder="1" applyAlignment="1">
      <alignment horizontal="center" vertical="center"/>
    </xf>
    <xf numFmtId="3" fontId="26" fillId="29" borderId="28" xfId="50" applyNumberFormat="1" applyFont="1" applyFill="1" applyBorder="1" applyAlignment="1">
      <alignment horizontal="right" wrapText="1"/>
    </xf>
    <xf numFmtId="3" fontId="29" fillId="29" borderId="26" xfId="50" applyNumberFormat="1" applyFont="1" applyFill="1" applyBorder="1" applyAlignment="1">
      <alignment horizontal="right" wrapText="1"/>
    </xf>
    <xf numFmtId="0" fontId="27" fillId="29" borderId="26" xfId="50" applyFont="1" applyFill="1" applyBorder="1" applyAlignment="1"/>
    <xf numFmtId="0" fontId="26" fillId="0" borderId="31" xfId="50" applyFont="1" applyBorder="1" applyAlignment="1">
      <alignment horizontal="center" vertical="center"/>
    </xf>
    <xf numFmtId="0" fontId="26" fillId="0" borderId="32" xfId="50" applyFont="1" applyBorder="1" applyAlignment="1">
      <alignment horizontal="center" vertical="center"/>
    </xf>
    <xf numFmtId="0" fontId="27" fillId="0" borderId="26" xfId="0" applyFont="1" applyBorder="1"/>
    <xf numFmtId="3" fontId="26" fillId="29" borderId="16" xfId="5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21" xfId="50" applyFont="1" applyBorder="1" applyAlignment="1">
      <alignment horizontal="center" vertical="center"/>
    </xf>
    <xf numFmtId="0" fontId="26" fillId="0" borderId="12" xfId="50" applyFont="1" applyBorder="1" applyAlignment="1">
      <alignment horizontal="center" vertical="center"/>
    </xf>
    <xf numFmtId="0" fontId="26" fillId="0" borderId="22" xfId="50" applyFont="1" applyBorder="1" applyAlignment="1">
      <alignment horizontal="center" vertical="center"/>
    </xf>
    <xf numFmtId="3" fontId="27" fillId="29" borderId="16" xfId="50" applyNumberFormat="1" applyFont="1" applyFill="1" applyBorder="1" applyAlignment="1">
      <alignment horizontal="right"/>
    </xf>
    <xf numFmtId="3" fontId="26" fillId="0" borderId="12" xfId="49" applyNumberFormat="1" applyFont="1" applyFill="1" applyBorder="1" applyAlignment="1">
      <alignment horizontal="right" wrapText="1"/>
    </xf>
    <xf numFmtId="3" fontId="26" fillId="0" borderId="18" xfId="43" applyNumberFormat="1" applyFont="1" applyBorder="1" applyAlignment="1">
      <alignment horizontal="right"/>
    </xf>
    <xf numFmtId="3" fontId="27" fillId="0" borderId="0" xfId="43" applyNumberFormat="1" applyFont="1" applyAlignment="1"/>
    <xf numFmtId="166" fontId="27" fillId="29" borderId="26" xfId="50" applyNumberFormat="1" applyFont="1" applyFill="1" applyBorder="1" applyAlignment="1">
      <alignment horizontal="right"/>
    </xf>
    <xf numFmtId="3" fontId="26" fillId="0" borderId="16" xfId="50" applyNumberFormat="1" applyFont="1" applyBorder="1"/>
    <xf numFmtId="3" fontId="26" fillId="0" borderId="16" xfId="0" applyNumberFormat="1" applyFont="1" applyBorder="1"/>
    <xf numFmtId="3" fontId="27" fillId="0" borderId="16" xfId="0" applyNumberFormat="1" applyFont="1" applyBorder="1" applyAlignment="1">
      <alignment horizontal="right"/>
    </xf>
    <xf numFmtId="0" fontId="26" fillId="0" borderId="24" xfId="50" applyFont="1" applyBorder="1" applyAlignment="1">
      <alignment horizontal="center" vertical="center" wrapText="1"/>
    </xf>
    <xf numFmtId="0" fontId="26" fillId="0" borderId="24" xfId="50" applyFont="1" applyBorder="1" applyAlignment="1">
      <alignment horizontal="center" vertical="center"/>
    </xf>
    <xf numFmtId="0" fontId="26" fillId="0" borderId="22" xfId="50" applyFont="1" applyBorder="1" applyAlignment="1">
      <alignment horizontal="center" vertical="center"/>
    </xf>
    <xf numFmtId="0" fontId="26" fillId="0" borderId="16" xfId="5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29" xfId="50" applyFont="1" applyBorder="1" applyAlignment="1">
      <alignment horizontal="center" vertical="center"/>
    </xf>
    <xf numFmtId="0" fontId="26" fillId="0" borderId="30" xfId="50" applyFont="1" applyBorder="1" applyAlignment="1">
      <alignment horizontal="center" vertical="center"/>
    </xf>
    <xf numFmtId="0" fontId="26" fillId="0" borderId="20" xfId="45" applyFont="1" applyFill="1" applyBorder="1" applyAlignment="1">
      <alignment horizontal="center" vertical="center"/>
    </xf>
    <xf numFmtId="0" fontId="26" fillId="0" borderId="14" xfId="45" applyFont="1" applyFill="1" applyBorder="1" applyAlignment="1">
      <alignment horizontal="center" vertical="center"/>
    </xf>
    <xf numFmtId="0" fontId="26" fillId="0" borderId="21" xfId="45" applyFont="1" applyBorder="1" applyAlignment="1">
      <alignment horizontal="center" vertical="center"/>
    </xf>
    <xf numFmtId="0" fontId="26" fillId="0" borderId="12" xfId="45" applyFont="1" applyBorder="1" applyAlignment="1">
      <alignment horizontal="center" vertical="center"/>
    </xf>
    <xf numFmtId="0" fontId="26" fillId="0" borderId="21" xfId="45" applyFont="1" applyFill="1" applyBorder="1" applyAlignment="1">
      <alignment horizontal="center" vertical="center"/>
    </xf>
    <xf numFmtId="0" fontId="26" fillId="0" borderId="12" xfId="45" applyFont="1" applyFill="1" applyBorder="1" applyAlignment="1">
      <alignment horizontal="center" vertical="center"/>
    </xf>
    <xf numFmtId="0" fontId="26" fillId="29" borderId="21" xfId="45" applyFont="1" applyFill="1" applyBorder="1" applyAlignment="1">
      <alignment horizontal="center" vertical="center"/>
    </xf>
    <xf numFmtId="0" fontId="26" fillId="29" borderId="12" xfId="45" applyFont="1" applyFill="1" applyBorder="1" applyAlignment="1">
      <alignment horizontal="center" vertical="center"/>
    </xf>
    <xf numFmtId="0" fontId="26" fillId="0" borderId="29" xfId="50" applyFont="1" applyBorder="1" applyAlignment="1">
      <alignment horizontal="center" vertical="center" wrapText="1"/>
    </xf>
    <xf numFmtId="0" fontId="26" fillId="0" borderId="30" xfId="50" applyFont="1" applyBorder="1" applyAlignment="1">
      <alignment horizontal="center" vertical="center" wrapText="1"/>
    </xf>
    <xf numFmtId="0" fontId="26" fillId="0" borderId="24" xfId="44" applyFont="1" applyBorder="1" applyAlignment="1">
      <alignment horizontal="center" vertical="center"/>
    </xf>
    <xf numFmtId="3" fontId="26" fillId="0" borderId="24" xfId="43" applyNumberFormat="1" applyFont="1" applyBorder="1" applyAlignment="1">
      <alignment horizontal="center" wrapText="1"/>
    </xf>
    <xf numFmtId="3" fontId="26" fillId="0" borderId="0" xfId="44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</cellXfs>
  <cellStyles count="9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53"/>
    <cellStyle name="20% - Accent2" xfId="54"/>
    <cellStyle name="20% - Accent3" xfId="55"/>
    <cellStyle name="20% - Accent4" xfId="56"/>
    <cellStyle name="20% - Accent5" xfId="57"/>
    <cellStyle name="20% - Accent6" xfId="58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evitel" xfId="26" builtinId="20" customBuiltin="1"/>
    <cellStyle name="Calculation" xfId="27"/>
    <cellStyle name="Check Cell" xfId="28"/>
    <cellStyle name="Cím" xfId="2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xplanatory Text" xfId="34"/>
    <cellStyle name="Ezres 2" xfId="35"/>
    <cellStyle name="Ezres 3" xfId="84"/>
    <cellStyle name="Ezres 3 2" xfId="87"/>
    <cellStyle name="Figyelmeztetés" xfId="36" builtinId="11" customBuiltin="1"/>
    <cellStyle name="Good" xfId="37"/>
    <cellStyle name="Heading 1" xfId="71"/>
    <cellStyle name="Heading 2" xfId="72"/>
    <cellStyle name="Heading 3" xfId="73"/>
    <cellStyle name="Heading 4" xfId="74"/>
    <cellStyle name="Hivatkozott cella" xfId="38" builtinId="24" customBuiltin="1"/>
    <cellStyle name="Input" xfId="75"/>
    <cellStyle name="Jegyzet" xfId="39" builtinId="10" customBuiltin="1"/>
    <cellStyle name="Kimenet" xfId="40" builtinId="21" customBuiltin="1"/>
    <cellStyle name="Linked Cell" xfId="76"/>
    <cellStyle name="Neutral" xfId="41"/>
    <cellStyle name="Normál" xfId="0" builtinId="0"/>
    <cellStyle name="Normál 2" xfId="42"/>
    <cellStyle name="Normál 4" xfId="89"/>
    <cellStyle name="Normál 5" xfId="88"/>
    <cellStyle name="Normál_2007_Koncepció táblák" xfId="86"/>
    <cellStyle name="Normál_2007_Koncepció táblák_2013. évi költségvetés I." xfId="43"/>
    <cellStyle name="Normál_2013. évi költségvetés I." xfId="44"/>
    <cellStyle name="Normál_2013. évi költségvetés I._2013. évi költségvetés előirányzat nyilvántartás" xfId="45"/>
    <cellStyle name="Normál_2013. évi költségvetés I._2013. évi költségvetés II. forduló testületi előterjesztés" xfId="46"/>
    <cellStyle name="Normál_2013. évi költségvetés I._iNTÉZMÉNYI NORMATÍVA 2014" xfId="47"/>
    <cellStyle name="Normál_2013. évi költségvetés II. forduló testületi előterjesztés" xfId="48"/>
    <cellStyle name="Normal_KARSZJ3" xfId="77"/>
    <cellStyle name="Normál_költségvetés10melléklet" xfId="85"/>
    <cellStyle name="Normal_KTRSZJ" xfId="78"/>
    <cellStyle name="Normál_Másolat eredetijeKÖLTSÉGVETÉS2005új1" xfId="49"/>
    <cellStyle name="Normál_Másolat eredetijeKÖLTSÉGVETÉS2005új1_2013. évi költségvetés I." xfId="50"/>
    <cellStyle name="Normál_Másolat eredetijeKÖLTSÉGVETÉS2005új1_2013. évi költségvetés II. forduló testületi előterjesztés" xfId="51"/>
    <cellStyle name="Note" xfId="79"/>
    <cellStyle name="Output" xfId="80"/>
    <cellStyle name="Összesen" xfId="52" builtinId="25" customBuiltin="1"/>
    <cellStyle name="Title" xfId="81"/>
    <cellStyle name="Total" xfId="82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HamarEva\LOCALS~1\Temp\M&#225;solat%20eredetijeksh19000282011.11.1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40"/>
  <sheetViews>
    <sheetView tabSelected="1" view="pageLayout" topLeftCell="A27" zoomScaleNormal="75" zoomScaleSheetLayoutView="89" workbookViewId="0">
      <selection activeCell="H4" sqref="H4"/>
    </sheetView>
  </sheetViews>
  <sheetFormatPr defaultColWidth="9.140625" defaultRowHeight="15.75" x14ac:dyDescent="0.25"/>
  <cols>
    <col min="1" max="1" width="23.42578125" style="49" customWidth="1"/>
    <col min="2" max="2" width="12" style="5" customWidth="1"/>
    <col min="3" max="3" width="13.28515625" style="5" customWidth="1"/>
    <col min="4" max="4" width="12.5703125" style="5" customWidth="1"/>
    <col min="5" max="5" width="12.7109375" style="5" customWidth="1"/>
    <col min="6" max="7" width="13" style="5" customWidth="1"/>
    <col min="8" max="9" width="10.85546875" style="5" bestFit="1" customWidth="1"/>
    <col min="10" max="10" width="9.140625" style="5"/>
    <col min="11" max="11" width="9.28515625" style="5" bestFit="1" customWidth="1"/>
    <col min="12" max="16384" width="9.140625" style="5"/>
  </cols>
  <sheetData>
    <row r="1" spans="1:7" hidden="1" x14ac:dyDescent="0.25">
      <c r="A1" s="4"/>
    </row>
    <row r="2" spans="1:7" hidden="1" x14ac:dyDescent="0.25">
      <c r="A2" s="4"/>
    </row>
    <row r="3" spans="1:7" x14ac:dyDescent="0.25">
      <c r="A3" s="4"/>
    </row>
    <row r="4" spans="1:7" ht="32.25" customHeight="1" thickBot="1" x14ac:dyDescent="0.3">
      <c r="A4" s="342" t="s">
        <v>346</v>
      </c>
      <c r="B4" s="342"/>
      <c r="C4" s="342"/>
      <c r="D4" s="342"/>
      <c r="E4" s="342"/>
      <c r="F4" s="342"/>
      <c r="G4" s="342"/>
    </row>
    <row r="5" spans="1:7" s="45" customFormat="1" ht="56.25" customHeight="1" x14ac:dyDescent="0.2">
      <c r="A5" s="36" t="s">
        <v>212</v>
      </c>
      <c r="B5" s="37" t="s">
        <v>384</v>
      </c>
      <c r="C5" s="37" t="s">
        <v>385</v>
      </c>
      <c r="D5" s="292" t="s">
        <v>386</v>
      </c>
      <c r="E5" s="292" t="s">
        <v>387</v>
      </c>
      <c r="F5" s="292" t="s">
        <v>388</v>
      </c>
      <c r="G5" s="52" t="s">
        <v>367</v>
      </c>
    </row>
    <row r="6" spans="1:7" ht="47.25" x14ac:dyDescent="0.25">
      <c r="A6" s="38" t="s">
        <v>4</v>
      </c>
      <c r="B6" s="8">
        <f>'2.tábla'!B5</f>
        <v>31474348</v>
      </c>
      <c r="C6" s="8">
        <f>'2.tábla'!C5</f>
        <v>31561828</v>
      </c>
      <c r="D6" s="269">
        <f>'2.tábla'!D5</f>
        <v>44660661</v>
      </c>
      <c r="E6" s="269">
        <f>'2.tábla'!E5</f>
        <v>45282961</v>
      </c>
      <c r="F6" s="269">
        <f>'2.tábla'!F5</f>
        <v>47660812</v>
      </c>
      <c r="G6" s="269">
        <f>'2.tábla'!G5</f>
        <v>2377851</v>
      </c>
    </row>
    <row r="7" spans="1:7" ht="47.25" x14ac:dyDescent="0.25">
      <c r="A7" s="38" t="s">
        <v>5</v>
      </c>
      <c r="B7" s="8">
        <f>'2.tábla'!B21</f>
        <v>5000000</v>
      </c>
      <c r="C7" s="8">
        <f>'2.tábla'!C21</f>
        <v>13956854</v>
      </c>
      <c r="D7" s="269">
        <f>'2.tábla'!D21</f>
        <v>13956854</v>
      </c>
      <c r="E7" s="269">
        <f>'2.tábla'!E21</f>
        <v>13956854</v>
      </c>
      <c r="F7" s="269">
        <f>'2.tábla'!F21</f>
        <v>13956854</v>
      </c>
      <c r="G7" s="269">
        <f>'2.tábla'!G21</f>
        <v>0</v>
      </c>
    </row>
    <row r="8" spans="1:7" ht="21.75" customHeight="1" x14ac:dyDescent="0.25">
      <c r="A8" s="38" t="s">
        <v>6</v>
      </c>
      <c r="B8" s="8">
        <f>'2.tábla'!B30</f>
        <v>11333000</v>
      </c>
      <c r="C8" s="8">
        <f>'2.tábla'!C30</f>
        <v>11333000</v>
      </c>
      <c r="D8" s="269">
        <f>'2.tábla'!D30</f>
        <v>11333000</v>
      </c>
      <c r="E8" s="269">
        <f>'2.tábla'!E30</f>
        <v>11333000</v>
      </c>
      <c r="F8" s="269">
        <f>'2.tábla'!F30</f>
        <v>11333000</v>
      </c>
      <c r="G8" s="269">
        <f>'2.tábla'!G30</f>
        <v>0</v>
      </c>
    </row>
    <row r="9" spans="1:7" ht="30" customHeight="1" x14ac:dyDescent="0.25">
      <c r="A9" s="38" t="s">
        <v>7</v>
      </c>
      <c r="B9" s="8">
        <f>'2.tábla'!B43</f>
        <v>3140000</v>
      </c>
      <c r="C9" s="8">
        <f>'2.tábla'!C43</f>
        <v>3290000</v>
      </c>
      <c r="D9" s="269">
        <f>'2.tábla'!D43</f>
        <v>4350000</v>
      </c>
      <c r="E9" s="269">
        <f>'2.tábla'!E43</f>
        <v>4350000</v>
      </c>
      <c r="F9" s="269">
        <f>'2.tábla'!F43</f>
        <v>4350000</v>
      </c>
      <c r="G9" s="269">
        <f>'2.tábla'!G43</f>
        <v>0</v>
      </c>
    </row>
    <row r="10" spans="1:7" ht="24.75" customHeight="1" x14ac:dyDescent="0.25">
      <c r="A10" s="38" t="s">
        <v>8</v>
      </c>
      <c r="B10" s="8">
        <f>'2.tábla'!B56</f>
        <v>0</v>
      </c>
      <c r="C10" s="8">
        <f>'2.tábla'!C56</f>
        <v>0</v>
      </c>
      <c r="D10" s="309"/>
      <c r="E10" s="309"/>
      <c r="F10" s="309"/>
      <c r="G10" s="39">
        <f t="shared" ref="G10:G33" si="0">F10-E10</f>
        <v>0</v>
      </c>
    </row>
    <row r="11" spans="1:7" ht="30.75" customHeight="1" x14ac:dyDescent="0.25">
      <c r="A11" s="53" t="s">
        <v>9</v>
      </c>
      <c r="B11" s="8">
        <f>'2.tábla'!B61</f>
        <v>0</v>
      </c>
      <c r="C11" s="8">
        <f>'2.tábla'!C61</f>
        <v>0</v>
      </c>
      <c r="D11" s="309"/>
      <c r="E11" s="309"/>
      <c r="F11" s="309"/>
      <c r="G11" s="309"/>
    </row>
    <row r="12" spans="1:7" ht="27.75" customHeight="1" x14ac:dyDescent="0.25">
      <c r="A12" s="53" t="s">
        <v>10</v>
      </c>
      <c r="B12" s="8">
        <f>'2.tábla'!B65</f>
        <v>0</v>
      </c>
      <c r="C12" s="8">
        <f>'2.tábla'!C65</f>
        <v>0</v>
      </c>
      <c r="D12" s="309">
        <f>'2.tábla'!D65</f>
        <v>3000000</v>
      </c>
      <c r="E12" s="309">
        <f>'2.tábla'!E65</f>
        <v>3000000</v>
      </c>
      <c r="F12" s="309">
        <f>'2.tábla'!F65</f>
        <v>3000000</v>
      </c>
      <c r="G12" s="309">
        <f>'2.tábla'!G65</f>
        <v>0</v>
      </c>
    </row>
    <row r="13" spans="1:7" s="46" customFormat="1" ht="24" customHeight="1" x14ac:dyDescent="0.25">
      <c r="A13" s="40" t="s">
        <v>11</v>
      </c>
      <c r="B13" s="35">
        <f>SUM(B6:B12)</f>
        <v>50947348</v>
      </c>
      <c r="C13" s="35">
        <f>SUM(C6:C12)</f>
        <v>60141682</v>
      </c>
      <c r="D13" s="35">
        <f>SUM(D6:D12)</f>
        <v>77300515</v>
      </c>
      <c r="E13" s="35">
        <f>SUM(E6:E12)</f>
        <v>77922815</v>
      </c>
      <c r="F13" s="35">
        <f>SUM(F6:F12)</f>
        <v>80300666</v>
      </c>
      <c r="G13" s="339">
        <f t="shared" si="0"/>
        <v>2377851</v>
      </c>
    </row>
    <row r="14" spans="1:7" ht="42.75" customHeight="1" x14ac:dyDescent="0.25">
      <c r="A14" s="38" t="s">
        <v>218</v>
      </c>
      <c r="B14" s="8">
        <f>'2.tábla'!B71</f>
        <v>20000000</v>
      </c>
      <c r="C14" s="8">
        <f>'2.tábla'!C71</f>
        <v>28648541</v>
      </c>
      <c r="D14" s="269">
        <f>'2.tábla'!D71</f>
        <v>28648541</v>
      </c>
      <c r="E14" s="269">
        <f>'2.tábla'!E71</f>
        <v>28648541</v>
      </c>
      <c r="F14" s="269">
        <f>'2.tábla'!F71</f>
        <v>28648541</v>
      </c>
      <c r="G14" s="39">
        <f t="shared" si="0"/>
        <v>0</v>
      </c>
    </row>
    <row r="15" spans="1:7" ht="48.75" customHeight="1" x14ac:dyDescent="0.25">
      <c r="A15" s="38" t="s">
        <v>13</v>
      </c>
      <c r="B15" s="8">
        <f>'2.tábla'!B74</f>
        <v>907476</v>
      </c>
      <c r="C15" s="8">
        <f>'2.tábla'!C74</f>
        <v>907476</v>
      </c>
      <c r="D15" s="269">
        <f>'2.tábla'!D74</f>
        <v>963239</v>
      </c>
      <c r="E15" s="269">
        <f>'2.tábla'!E74</f>
        <v>963239</v>
      </c>
      <c r="F15" s="269">
        <f>'2.tábla'!F74</f>
        <v>2205230</v>
      </c>
      <c r="G15" s="39">
        <f t="shared" si="0"/>
        <v>1241991</v>
      </c>
    </row>
    <row r="16" spans="1:7" s="46" customFormat="1" ht="23.25" customHeight="1" x14ac:dyDescent="0.25">
      <c r="A16" s="54" t="s">
        <v>12</v>
      </c>
      <c r="B16" s="7">
        <f>B14+B15</f>
        <v>20907476</v>
      </c>
      <c r="C16" s="7">
        <f>C14+C15</f>
        <v>29556017</v>
      </c>
      <c r="D16" s="7">
        <f>D14+D15</f>
        <v>29611780</v>
      </c>
      <c r="E16" s="7">
        <f>E14+E15</f>
        <v>29611780</v>
      </c>
      <c r="F16" s="7">
        <f>F14+F15</f>
        <v>30853771</v>
      </c>
      <c r="G16" s="339">
        <f t="shared" si="0"/>
        <v>1241991</v>
      </c>
    </row>
    <row r="17" spans="1:13" s="46" customFormat="1" ht="20.25" customHeight="1" x14ac:dyDescent="0.25">
      <c r="A17" s="41" t="s">
        <v>14</v>
      </c>
      <c r="B17" s="9">
        <f>B13+B16</f>
        <v>71854824</v>
      </c>
      <c r="C17" s="9">
        <f>C13+C16</f>
        <v>89697699</v>
      </c>
      <c r="D17" s="9">
        <f>D13+D16</f>
        <v>106912295</v>
      </c>
      <c r="E17" s="9">
        <f>E13+E16</f>
        <v>107534595</v>
      </c>
      <c r="F17" s="9">
        <f>F13+F16</f>
        <v>111154437</v>
      </c>
      <c r="G17" s="339">
        <f t="shared" si="0"/>
        <v>3619842</v>
      </c>
    </row>
    <row r="18" spans="1:13" s="46" customFormat="1" ht="18.75" customHeight="1" x14ac:dyDescent="0.25">
      <c r="A18" s="41"/>
      <c r="B18" s="9"/>
      <c r="C18" s="35"/>
      <c r="D18" s="310"/>
      <c r="E18" s="310"/>
      <c r="F18" s="310"/>
      <c r="G18" s="39">
        <f t="shared" si="0"/>
        <v>0</v>
      </c>
    </row>
    <row r="19" spans="1:13" s="48" customFormat="1" ht="20.100000000000001" customHeight="1" x14ac:dyDescent="0.25">
      <c r="A19" s="40" t="s">
        <v>15</v>
      </c>
      <c r="B19" s="35">
        <f>B20</f>
        <v>47582807</v>
      </c>
      <c r="C19" s="35">
        <f>C20</f>
        <v>48919723</v>
      </c>
      <c r="D19" s="35">
        <f>D20</f>
        <v>61574034</v>
      </c>
      <c r="E19" s="35">
        <f>E20</f>
        <v>63607373</v>
      </c>
      <c r="F19" s="35">
        <f>F20</f>
        <v>63607373</v>
      </c>
      <c r="G19" s="39"/>
      <c r="H19" s="47"/>
      <c r="I19" s="47"/>
      <c r="J19" s="47"/>
      <c r="K19" s="47"/>
      <c r="L19" s="47"/>
      <c r="M19" s="47"/>
    </row>
    <row r="20" spans="1:13" ht="20.25" customHeight="1" x14ac:dyDescent="0.25">
      <c r="A20" s="38" t="s">
        <v>270</v>
      </c>
      <c r="B20" s="8">
        <f>'3.tábla '!B38</f>
        <v>47582807</v>
      </c>
      <c r="C20" s="8">
        <f>'3.tábla '!C38</f>
        <v>48919723</v>
      </c>
      <c r="D20" s="269">
        <f>'3.tábla '!D38</f>
        <v>61574034</v>
      </c>
      <c r="E20" s="269">
        <f>'3.tábla '!E38</f>
        <v>63607373</v>
      </c>
      <c r="F20" s="269">
        <f>'3.tábla '!F38</f>
        <v>63607373</v>
      </c>
      <c r="G20" s="39"/>
    </row>
    <row r="21" spans="1:13" s="46" customFormat="1" ht="20.100000000000001" customHeight="1" x14ac:dyDescent="0.25">
      <c r="A21" s="40" t="s">
        <v>16</v>
      </c>
      <c r="B21" s="7">
        <f>SUM(B22:B24)</f>
        <v>14466956</v>
      </c>
      <c r="C21" s="7">
        <f>SUM(C22:C24)</f>
        <v>25113795</v>
      </c>
      <c r="D21" s="7">
        <f>SUM(D22:D24)</f>
        <v>31571416</v>
      </c>
      <c r="E21" s="7">
        <f>SUM(E22:E24)</f>
        <v>31751416</v>
      </c>
      <c r="F21" s="7">
        <f>SUM(F22:F24)</f>
        <v>31751416</v>
      </c>
      <c r="G21" s="39">
        <f t="shared" si="0"/>
        <v>0</v>
      </c>
    </row>
    <row r="22" spans="1:13" ht="20.100000000000001" customHeight="1" x14ac:dyDescent="0.25">
      <c r="A22" s="38" t="s">
        <v>207</v>
      </c>
      <c r="B22" s="8">
        <f>'5.tábla'!B3</f>
        <v>9119196</v>
      </c>
      <c r="C22" s="8">
        <f>'5.tábla'!C3</f>
        <v>9217399</v>
      </c>
      <c r="D22" s="269">
        <f>'5.tábla'!D3</f>
        <v>14222020</v>
      </c>
      <c r="E22" s="269">
        <f>'5.tábla'!E3</f>
        <v>14402020</v>
      </c>
      <c r="F22" s="269">
        <f>'5.tábla'!F3</f>
        <v>14402020</v>
      </c>
      <c r="G22" s="39">
        <f t="shared" si="0"/>
        <v>0</v>
      </c>
      <c r="I22" s="187"/>
    </row>
    <row r="23" spans="1:13" s="46" customFormat="1" ht="20.100000000000001" customHeight="1" x14ac:dyDescent="0.25">
      <c r="A23" s="38" t="s">
        <v>208</v>
      </c>
      <c r="B23" s="8">
        <f>'5.tábla'!B22</f>
        <v>5316875</v>
      </c>
      <c r="C23" s="8">
        <f>'5.tábla'!C22</f>
        <v>15865511</v>
      </c>
      <c r="D23" s="269">
        <f>'5.tábla'!D22</f>
        <v>17318511</v>
      </c>
      <c r="E23" s="269">
        <f>'5.tábla'!E22</f>
        <v>17318511</v>
      </c>
      <c r="F23" s="269">
        <f>'5.tábla'!F22</f>
        <v>17318511</v>
      </c>
      <c r="G23" s="39">
        <f t="shared" si="0"/>
        <v>0</v>
      </c>
    </row>
    <row r="24" spans="1:13" ht="20.100000000000001" customHeight="1" x14ac:dyDescent="0.25">
      <c r="A24" s="38" t="s">
        <v>266</v>
      </c>
      <c r="B24" s="8">
        <f>'5.tábla'!B32</f>
        <v>30885</v>
      </c>
      <c r="C24" s="8">
        <f>'5.tábla'!C32</f>
        <v>30885</v>
      </c>
      <c r="D24" s="269">
        <f>'5.tábla'!D32</f>
        <v>30885</v>
      </c>
      <c r="E24" s="269">
        <f>'5.tábla'!E32</f>
        <v>30885</v>
      </c>
      <c r="F24" s="269">
        <f>'5.tábla'!F32</f>
        <v>30885</v>
      </c>
      <c r="G24" s="39">
        <f t="shared" si="0"/>
        <v>0</v>
      </c>
      <c r="K24" s="5">
        <v>-1134280</v>
      </c>
    </row>
    <row r="25" spans="1:13" ht="12.75" customHeight="1" x14ac:dyDescent="0.25">
      <c r="A25" s="40"/>
      <c r="B25" s="8"/>
      <c r="C25" s="6"/>
      <c r="D25" s="311"/>
      <c r="E25" s="311"/>
      <c r="F25" s="311"/>
      <c r="G25" s="39">
        <f t="shared" si="0"/>
        <v>0</v>
      </c>
      <c r="K25" s="5">
        <v>89694</v>
      </c>
    </row>
    <row r="26" spans="1:13" s="46" customFormat="1" ht="20.100000000000001" customHeight="1" x14ac:dyDescent="0.25">
      <c r="A26" s="40" t="s">
        <v>17</v>
      </c>
      <c r="B26" s="7">
        <f t="shared" ref="B26:G26" si="1">B27+B28</f>
        <v>7405470</v>
      </c>
      <c r="C26" s="7">
        <f t="shared" si="1"/>
        <v>13264590</v>
      </c>
      <c r="D26" s="7">
        <f t="shared" si="1"/>
        <v>11311491</v>
      </c>
      <c r="E26" s="7">
        <f t="shared" si="1"/>
        <v>9720452</v>
      </c>
      <c r="F26" s="7">
        <f t="shared" si="1"/>
        <v>13340294</v>
      </c>
      <c r="G26" s="7">
        <f t="shared" si="1"/>
        <v>3619842</v>
      </c>
      <c r="H26" s="187"/>
      <c r="K26" s="46">
        <v>8648541</v>
      </c>
    </row>
    <row r="27" spans="1:13" s="46" customFormat="1" ht="20.100000000000001" customHeight="1" x14ac:dyDescent="0.25">
      <c r="A27" s="38" t="s">
        <v>18</v>
      </c>
      <c r="B27" s="8">
        <v>7405470</v>
      </c>
      <c r="C27" s="269">
        <f>7405470-1134280+89694+8648541-11160-98203-1580622-110440+87480-31890</f>
        <v>13264590</v>
      </c>
      <c r="D27" s="269">
        <f>13264590-1000001-393000-30294-1004620-500000+1004054-150000-350000-300000</f>
        <v>10540729</v>
      </c>
      <c r="E27" s="269">
        <f>10540729-140000-117740-180000-300000-853299</f>
        <v>8949690</v>
      </c>
      <c r="F27" s="269">
        <f>8949690+151+918300+811400</f>
        <v>10679541</v>
      </c>
      <c r="G27" s="39">
        <f>F27-E27</f>
        <v>1729851</v>
      </c>
      <c r="K27" s="46">
        <v>-11160</v>
      </c>
    </row>
    <row r="28" spans="1:13" s="46" customFormat="1" ht="20.100000000000001" customHeight="1" x14ac:dyDescent="0.25">
      <c r="A28" s="38" t="s">
        <v>19</v>
      </c>
      <c r="B28" s="8"/>
      <c r="C28" s="6">
        <f>C29</f>
        <v>0</v>
      </c>
      <c r="D28" s="311">
        <v>770762</v>
      </c>
      <c r="E28" s="311">
        <v>770762</v>
      </c>
      <c r="F28" s="311">
        <f>770762+648000+1241991</f>
        <v>2660753</v>
      </c>
      <c r="G28" s="39">
        <f t="shared" si="0"/>
        <v>1889991</v>
      </c>
      <c r="K28" s="46">
        <v>-98203</v>
      </c>
    </row>
    <row r="29" spans="1:13" s="251" customFormat="1" ht="30" customHeight="1" x14ac:dyDescent="0.25">
      <c r="A29" s="254" t="s">
        <v>333</v>
      </c>
      <c r="B29" s="84"/>
      <c r="C29" s="220"/>
      <c r="D29" s="312"/>
      <c r="E29" s="312"/>
      <c r="F29" s="312"/>
      <c r="G29" s="39">
        <f t="shared" si="0"/>
        <v>0</v>
      </c>
      <c r="K29" s="251">
        <v>-1580622</v>
      </c>
    </row>
    <row r="30" spans="1:13" s="251" customFormat="1" ht="33" customHeight="1" x14ac:dyDescent="0.25">
      <c r="A30" s="252" t="s">
        <v>20</v>
      </c>
      <c r="B30" s="85">
        <f t="shared" ref="B30:G30" si="2">SUM(B26,B21,B19)</f>
        <v>69455233</v>
      </c>
      <c r="C30" s="85">
        <f t="shared" si="2"/>
        <v>87298108</v>
      </c>
      <c r="D30" s="274">
        <f t="shared" si="2"/>
        <v>104456941</v>
      </c>
      <c r="E30" s="274">
        <f t="shared" si="2"/>
        <v>105079241</v>
      </c>
      <c r="F30" s="274">
        <f t="shared" si="2"/>
        <v>108699083</v>
      </c>
      <c r="G30" s="274">
        <f t="shared" si="2"/>
        <v>3619842</v>
      </c>
      <c r="K30" s="251">
        <f>SUM(K24:K29)</f>
        <v>5913970</v>
      </c>
    </row>
    <row r="31" spans="1:13" s="253" customFormat="1" ht="20.100000000000001" customHeight="1" x14ac:dyDescent="0.25">
      <c r="A31" s="250" t="s">
        <v>311</v>
      </c>
      <c r="B31" s="84">
        <f>'5.tábla'!B35</f>
        <v>0</v>
      </c>
      <c r="C31" s="84">
        <f>'5.tábla'!C35</f>
        <v>0</v>
      </c>
      <c r="D31" s="313"/>
      <c r="E31" s="313"/>
      <c r="F31" s="313"/>
      <c r="G31" s="39">
        <f t="shared" si="0"/>
        <v>0</v>
      </c>
    </row>
    <row r="32" spans="1:13" ht="20.100000000000001" customHeight="1" x14ac:dyDescent="0.25">
      <c r="A32" s="55" t="s">
        <v>96</v>
      </c>
      <c r="B32" s="8">
        <f>'5.tábla'!B36</f>
        <v>0</v>
      </c>
      <c r="C32" s="8">
        <f>'5.tábla'!C36</f>
        <v>0</v>
      </c>
      <c r="D32" s="309"/>
      <c r="E32" s="309"/>
      <c r="F32" s="309"/>
      <c r="G32" s="39">
        <f t="shared" si="0"/>
        <v>0</v>
      </c>
    </row>
    <row r="33" spans="1:10" ht="30.75" customHeight="1" x14ac:dyDescent="0.25">
      <c r="A33" s="38" t="s">
        <v>225</v>
      </c>
      <c r="B33" s="8">
        <f>'5.tábla'!B37</f>
        <v>2399591</v>
      </c>
      <c r="C33" s="8">
        <f>'5.tábla'!C37</f>
        <v>2399591</v>
      </c>
      <c r="D33" s="269">
        <f>'5.tábla'!D37</f>
        <v>2455354</v>
      </c>
      <c r="E33" s="269">
        <f>'5.tábla'!E37</f>
        <v>2455354</v>
      </c>
      <c r="F33" s="269">
        <f>'5.tábla'!F37</f>
        <v>2455354</v>
      </c>
      <c r="G33" s="39">
        <f t="shared" si="0"/>
        <v>0</v>
      </c>
    </row>
    <row r="34" spans="1:10" s="46" customFormat="1" ht="27.75" customHeight="1" x14ac:dyDescent="0.25">
      <c r="A34" s="40" t="s">
        <v>21</v>
      </c>
      <c r="B34" s="7">
        <f t="shared" ref="B34:G34" si="3">SUM(B31:B33)</f>
        <v>2399591</v>
      </c>
      <c r="C34" s="7">
        <f t="shared" si="3"/>
        <v>2399591</v>
      </c>
      <c r="D34" s="7">
        <f t="shared" si="3"/>
        <v>2455354</v>
      </c>
      <c r="E34" s="7">
        <f t="shared" si="3"/>
        <v>2455354</v>
      </c>
      <c r="F34" s="7">
        <f t="shared" si="3"/>
        <v>2455354</v>
      </c>
      <c r="G34" s="7">
        <f t="shared" si="3"/>
        <v>0</v>
      </c>
    </row>
    <row r="35" spans="1:10" s="46" customFormat="1" ht="20.100000000000001" customHeight="1" thickBot="1" x14ac:dyDescent="0.3">
      <c r="A35" s="42" t="s">
        <v>22</v>
      </c>
      <c r="B35" s="43">
        <f t="shared" ref="B35:G35" si="4">B30+B34</f>
        <v>71854824</v>
      </c>
      <c r="C35" s="43">
        <f t="shared" si="4"/>
        <v>89697699</v>
      </c>
      <c r="D35" s="43">
        <f t="shared" si="4"/>
        <v>106912295</v>
      </c>
      <c r="E35" s="43">
        <f t="shared" si="4"/>
        <v>107534595</v>
      </c>
      <c r="F35" s="43">
        <f t="shared" si="4"/>
        <v>111154437</v>
      </c>
      <c r="G35" s="43">
        <f t="shared" si="4"/>
        <v>3619842</v>
      </c>
      <c r="H35" s="186"/>
      <c r="I35" s="186"/>
      <c r="J35" s="186"/>
    </row>
    <row r="36" spans="1:10" x14ac:dyDescent="0.25">
      <c r="F36" s="187">
        <f>F17-F35</f>
        <v>0</v>
      </c>
    </row>
    <row r="38" spans="1:10" x14ac:dyDescent="0.25">
      <c r="D38" s="187"/>
      <c r="E38" s="187"/>
      <c r="F38" s="187"/>
    </row>
    <row r="40" spans="1:10" x14ac:dyDescent="0.25">
      <c r="C40" s="187"/>
    </row>
  </sheetData>
  <sheetProtection selectLockedCells="1" selectUnlockedCells="1"/>
  <mergeCells count="1">
    <mergeCell ref="A4:G4"/>
  </mergeCells>
  <phoneticPr fontId="21" type="noConversion"/>
  <printOptions horizontalCentered="1"/>
  <pageMargins left="8.3333333333333329E-2" right="0.28125" top="1.1023622047244095" bottom="0.19685039370078741" header="0.23622047244094491" footer="0.51181102362204722"/>
  <pageSetup paperSize="9" firstPageNumber="0" orientation="portrait" r:id="rId1"/>
  <headerFooter alignWithMargins="0">
    <oddHeader>&amp;C&amp;"Times New Roman,Normál"&amp;12 1. melléklet 
Az önkormányzat 2018. évi költségvetéséről szóló 3/2019. (III. 14.)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83"/>
  <sheetViews>
    <sheetView view="pageLayout" topLeftCell="A3" zoomScaleNormal="75" zoomScaleSheetLayoutView="89" workbookViewId="0">
      <selection activeCell="I5" sqref="I5"/>
    </sheetView>
  </sheetViews>
  <sheetFormatPr defaultColWidth="9" defaultRowHeight="15.75" x14ac:dyDescent="0.25"/>
  <cols>
    <col min="1" max="1" width="22.140625" style="58" customWidth="1"/>
    <col min="2" max="2" width="12.42578125" style="58" customWidth="1"/>
    <col min="3" max="3" width="12.5703125" style="58" customWidth="1"/>
    <col min="4" max="5" width="13.42578125" style="58" customWidth="1"/>
    <col min="6" max="6" width="13" style="58" customWidth="1"/>
    <col min="7" max="7" width="12.7109375" style="58" customWidth="1"/>
    <col min="8" max="10" width="15.28515625" style="58" customWidth="1"/>
    <col min="11" max="16384" width="9" style="58"/>
  </cols>
  <sheetData>
    <row r="1" spans="1:7" ht="16.5" hidden="1" thickBot="1" x14ac:dyDescent="0.3">
      <c r="A1" s="56"/>
      <c r="B1" s="57"/>
    </row>
    <row r="2" spans="1:7" ht="16.5" hidden="1" thickBot="1" x14ac:dyDescent="0.3">
      <c r="A2" s="59"/>
    </row>
    <row r="3" spans="1:7" ht="25.5" customHeight="1" thickBot="1" x14ac:dyDescent="0.3">
      <c r="A3" s="343" t="s">
        <v>347</v>
      </c>
      <c r="B3" s="343"/>
      <c r="C3" s="343"/>
      <c r="D3" s="343"/>
      <c r="E3" s="343"/>
      <c r="F3" s="343"/>
      <c r="G3" s="343"/>
    </row>
    <row r="4" spans="1:7" s="47" customFormat="1" ht="53.45" customHeight="1" x14ac:dyDescent="0.25">
      <c r="A4" s="60" t="s">
        <v>212</v>
      </c>
      <c r="B4" s="37" t="s">
        <v>384</v>
      </c>
      <c r="C4" s="37" t="s">
        <v>385</v>
      </c>
      <c r="D4" s="292" t="s">
        <v>386</v>
      </c>
      <c r="E4" s="292" t="s">
        <v>387</v>
      </c>
      <c r="F4" s="292" t="s">
        <v>388</v>
      </c>
      <c r="G4" s="333" t="s">
        <v>367</v>
      </c>
    </row>
    <row r="5" spans="1:7" s="47" customFormat="1" ht="63" x14ac:dyDescent="0.25">
      <c r="A5" s="61" t="s">
        <v>4</v>
      </c>
      <c r="B5" s="9">
        <f t="shared" ref="B5:G5" si="0">B6+B12+B13+B14+B15+B16</f>
        <v>31474348</v>
      </c>
      <c r="C5" s="9">
        <f t="shared" si="0"/>
        <v>31561828</v>
      </c>
      <c r="D5" s="9">
        <f t="shared" si="0"/>
        <v>44660661</v>
      </c>
      <c r="E5" s="9">
        <f t="shared" si="0"/>
        <v>45282961</v>
      </c>
      <c r="F5" s="9">
        <f t="shared" si="0"/>
        <v>47660812</v>
      </c>
      <c r="G5" s="9">
        <f t="shared" si="0"/>
        <v>2377851</v>
      </c>
    </row>
    <row r="6" spans="1:7" s="63" customFormat="1" ht="38.25" customHeight="1" x14ac:dyDescent="0.25">
      <c r="A6" s="62" t="s">
        <v>23</v>
      </c>
      <c r="B6" s="65">
        <f>B7+B8+B9</f>
        <v>28253068</v>
      </c>
      <c r="C6" s="65">
        <f>C7+C8+C9</f>
        <v>28340548</v>
      </c>
      <c r="D6" s="272">
        <f>D7+D8+D9</f>
        <v>28340548</v>
      </c>
      <c r="E6" s="272">
        <f>E7+E8+E9</f>
        <v>28340548</v>
      </c>
      <c r="F6" s="272">
        <f>F7+F8+F9+F10</f>
        <v>30718399</v>
      </c>
      <c r="G6" s="272">
        <f>G7+G8+G9+G10</f>
        <v>2377851</v>
      </c>
    </row>
    <row r="7" spans="1:7" s="63" customFormat="1" ht="36.75" customHeight="1" x14ac:dyDescent="0.25">
      <c r="A7" s="64" t="s">
        <v>24</v>
      </c>
      <c r="B7" s="65">
        <f>'2a. tábla'!E5</f>
        <v>19558068</v>
      </c>
      <c r="C7" s="65">
        <f>'2a. tábla'!F5</f>
        <v>19558068</v>
      </c>
      <c r="D7" s="272">
        <f>'2a. tábla'!G5</f>
        <v>19558068</v>
      </c>
      <c r="E7" s="272">
        <f>'2a. tábla'!H5</f>
        <v>19558068</v>
      </c>
      <c r="F7" s="272">
        <f>'2a. tábla'!I5</f>
        <v>19558068</v>
      </c>
      <c r="G7" s="329">
        <f t="shared" ref="G7:G69" si="1">F7-E7</f>
        <v>0</v>
      </c>
    </row>
    <row r="8" spans="1:7" s="63" customFormat="1" ht="28.35" customHeight="1" x14ac:dyDescent="0.25">
      <c r="A8" s="53" t="s">
        <v>25</v>
      </c>
      <c r="B8" s="65">
        <f>'2a. tábla'!E33</f>
        <v>6895000</v>
      </c>
      <c r="C8" s="65">
        <f>'2a. tábla'!F33</f>
        <v>6982480</v>
      </c>
      <c r="D8" s="272">
        <f>'2a. tábla'!G33</f>
        <v>6982480</v>
      </c>
      <c r="E8" s="272">
        <f>'2a. tábla'!H33</f>
        <v>6982480</v>
      </c>
      <c r="F8" s="272">
        <f>'2a. tábla'!I33</f>
        <v>6982631</v>
      </c>
      <c r="G8" s="334">
        <f t="shared" si="1"/>
        <v>151</v>
      </c>
    </row>
    <row r="9" spans="1:7" s="63" customFormat="1" ht="28.35" customHeight="1" x14ac:dyDescent="0.25">
      <c r="A9" s="53" t="s">
        <v>26</v>
      </c>
      <c r="B9" s="65">
        <f>'2a. tábla'!E43</f>
        <v>1800000</v>
      </c>
      <c r="C9" s="65">
        <f>'2a. tábla'!F43</f>
        <v>1800000</v>
      </c>
      <c r="D9" s="272">
        <f>'2a. tábla'!G43</f>
        <v>1800000</v>
      </c>
      <c r="E9" s="272">
        <f>'2a. tábla'!H43</f>
        <v>1800000</v>
      </c>
      <c r="F9" s="272">
        <f>'2a. tábla'!I43</f>
        <v>1800000</v>
      </c>
      <c r="G9" s="329">
        <f t="shared" si="1"/>
        <v>0</v>
      </c>
    </row>
    <row r="10" spans="1:7" s="47" customFormat="1" ht="75" customHeight="1" x14ac:dyDescent="0.25">
      <c r="A10" s="53" t="s">
        <v>0</v>
      </c>
      <c r="B10" s="65"/>
      <c r="C10" s="50"/>
      <c r="D10" s="300"/>
      <c r="E10" s="300"/>
      <c r="F10" s="338">
        <f>648000+918300+811400</f>
        <v>2377700</v>
      </c>
      <c r="G10" s="334">
        <f t="shared" si="1"/>
        <v>2377700</v>
      </c>
    </row>
    <row r="11" spans="1:7" s="47" customFormat="1" ht="31.5" x14ac:dyDescent="0.25">
      <c r="A11" s="53" t="s">
        <v>1</v>
      </c>
      <c r="B11" s="65"/>
      <c r="C11" s="50"/>
      <c r="D11" s="300"/>
      <c r="E11" s="300"/>
      <c r="F11" s="300"/>
      <c r="G11" s="329">
        <f t="shared" si="1"/>
        <v>0</v>
      </c>
    </row>
    <row r="12" spans="1:7" s="47" customFormat="1" ht="31.5" x14ac:dyDescent="0.25">
      <c r="A12" s="53" t="s">
        <v>222</v>
      </c>
      <c r="B12" s="65"/>
      <c r="C12" s="50"/>
      <c r="D12" s="300"/>
      <c r="E12" s="300"/>
      <c r="F12" s="300"/>
      <c r="G12" s="329">
        <f t="shared" si="1"/>
        <v>0</v>
      </c>
    </row>
    <row r="13" spans="1:7" s="67" customFormat="1" ht="78.75" x14ac:dyDescent="0.25">
      <c r="A13" s="53" t="s">
        <v>27</v>
      </c>
      <c r="B13" s="65"/>
      <c r="C13" s="66"/>
      <c r="D13" s="301"/>
      <c r="E13" s="301"/>
      <c r="F13" s="301"/>
      <c r="G13" s="329">
        <f t="shared" si="1"/>
        <v>0</v>
      </c>
    </row>
    <row r="14" spans="1:7" s="67" customFormat="1" ht="28.35" customHeight="1" x14ac:dyDescent="0.25">
      <c r="A14" s="53" t="s">
        <v>28</v>
      </c>
      <c r="B14" s="65"/>
      <c r="C14" s="66"/>
      <c r="D14" s="301"/>
      <c r="E14" s="301"/>
      <c r="F14" s="301"/>
      <c r="G14" s="329">
        <f t="shared" si="1"/>
        <v>0</v>
      </c>
    </row>
    <row r="15" spans="1:7" s="67" customFormat="1" ht="28.35" customHeight="1" x14ac:dyDescent="0.25">
      <c r="A15" s="53" t="s">
        <v>29</v>
      </c>
      <c r="B15" s="65"/>
      <c r="C15" s="66"/>
      <c r="D15" s="301"/>
      <c r="E15" s="301"/>
      <c r="F15" s="301"/>
      <c r="G15" s="329">
        <f t="shared" si="1"/>
        <v>0</v>
      </c>
    </row>
    <row r="16" spans="1:7" s="47" customFormat="1" ht="28.35" customHeight="1" x14ac:dyDescent="0.25">
      <c r="A16" s="53" t="s">
        <v>30</v>
      </c>
      <c r="B16" s="65">
        <f>B17</f>
        <v>3221280</v>
      </c>
      <c r="C16" s="65">
        <f>C17</f>
        <v>3221280</v>
      </c>
      <c r="D16" s="272">
        <f>D17+D20+D18+D19</f>
        <v>16320113</v>
      </c>
      <c r="E16" s="272">
        <f>E17+E20+E18+E19</f>
        <v>16942413</v>
      </c>
      <c r="F16" s="272">
        <f>F17+F20+F18+F19</f>
        <v>16942413</v>
      </c>
      <c r="G16" s="329">
        <f>F16-E16</f>
        <v>0</v>
      </c>
    </row>
    <row r="17" spans="1:9" s="47" customFormat="1" ht="28.35" customHeight="1" x14ac:dyDescent="0.25">
      <c r="A17" s="53" t="s">
        <v>267</v>
      </c>
      <c r="B17" s="68">
        <v>3221280</v>
      </c>
      <c r="C17" s="185">
        <v>3221280</v>
      </c>
      <c r="D17" s="185">
        <f>3221280+770762+476667</f>
        <v>4468709</v>
      </c>
      <c r="E17" s="185">
        <f>3221280+770762+476667</f>
        <v>4468709</v>
      </c>
      <c r="F17" s="185">
        <f>3221280+770762+476667</f>
        <v>4468709</v>
      </c>
      <c r="G17" s="329">
        <f>F17-E17</f>
        <v>0</v>
      </c>
    </row>
    <row r="18" spans="1:9" s="47" customFormat="1" ht="28.35" customHeight="1" x14ac:dyDescent="0.25">
      <c r="A18" s="53" t="s">
        <v>379</v>
      </c>
      <c r="B18" s="273"/>
      <c r="C18" s="185"/>
      <c r="D18" s="185">
        <v>11040004</v>
      </c>
      <c r="E18" s="185">
        <v>11040004</v>
      </c>
      <c r="F18" s="185">
        <v>11040004</v>
      </c>
      <c r="G18" s="329">
        <f t="shared" si="1"/>
        <v>0</v>
      </c>
    </row>
    <row r="19" spans="1:9" s="47" customFormat="1" ht="28.35" customHeight="1" x14ac:dyDescent="0.25">
      <c r="A19" s="53" t="s">
        <v>382</v>
      </c>
      <c r="B19" s="273"/>
      <c r="C19" s="185"/>
      <c r="D19" s="185"/>
      <c r="E19" s="185">
        <v>622300</v>
      </c>
      <c r="F19" s="185">
        <v>622300</v>
      </c>
      <c r="G19" s="329">
        <f t="shared" si="1"/>
        <v>0</v>
      </c>
    </row>
    <row r="20" spans="1:9" s="47" customFormat="1" ht="28.35" customHeight="1" x14ac:dyDescent="0.25">
      <c r="A20" s="53" t="s">
        <v>371</v>
      </c>
      <c r="B20" s="273"/>
      <c r="C20" s="185"/>
      <c r="D20" s="185">
        <v>811400</v>
      </c>
      <c r="E20" s="185">
        <v>811400</v>
      </c>
      <c r="F20" s="185">
        <v>811400</v>
      </c>
      <c r="G20" s="329">
        <f t="shared" si="1"/>
        <v>0</v>
      </c>
    </row>
    <row r="21" spans="1:9" s="47" customFormat="1" ht="28.35" customHeight="1" x14ac:dyDescent="0.25">
      <c r="A21" s="61" t="s">
        <v>5</v>
      </c>
      <c r="B21" s="9">
        <f>B22+B26+B27+B28+B29+B25</f>
        <v>5000000</v>
      </c>
      <c r="C21" s="9">
        <f>C22+C26+C27+C28+C29+C25</f>
        <v>13956854</v>
      </c>
      <c r="D21" s="9">
        <f>D22+D26+D27+D28+D29+D25</f>
        <v>13956854</v>
      </c>
      <c r="E21" s="9">
        <f>E22+E26+E27+E28+E29+E25</f>
        <v>13956854</v>
      </c>
      <c r="F21" s="9">
        <f>F22+F26+F27+F28+F29+F25</f>
        <v>13956854</v>
      </c>
      <c r="G21" s="329">
        <f t="shared" si="1"/>
        <v>0</v>
      </c>
    </row>
    <row r="22" spans="1:9" s="47" customFormat="1" ht="28.35" customHeight="1" x14ac:dyDescent="0.25">
      <c r="A22" s="53" t="s">
        <v>31</v>
      </c>
      <c r="B22" s="272">
        <f>B23+B24</f>
        <v>5000000</v>
      </c>
      <c r="C22" s="65">
        <f>C23+C24</f>
        <v>5000000</v>
      </c>
      <c r="D22" s="272">
        <f>D23+D24</f>
        <v>5000000</v>
      </c>
      <c r="E22" s="272">
        <f>E23+E24</f>
        <v>5000000</v>
      </c>
      <c r="F22" s="272">
        <f>F23+F24</f>
        <v>5000000</v>
      </c>
      <c r="G22" s="329">
        <f t="shared" si="1"/>
        <v>0</v>
      </c>
      <c r="H22" s="163"/>
      <c r="I22" s="163"/>
    </row>
    <row r="23" spans="1:9" s="47" customFormat="1" ht="28.35" customHeight="1" x14ac:dyDescent="0.25">
      <c r="A23" s="105" t="s">
        <v>345</v>
      </c>
      <c r="B23" s="272">
        <v>5000000</v>
      </c>
      <c r="C23" s="272">
        <v>5000000</v>
      </c>
      <c r="D23" s="272">
        <v>5000000</v>
      </c>
      <c r="E23" s="272">
        <v>5000000</v>
      </c>
      <c r="F23" s="272">
        <v>5000000</v>
      </c>
      <c r="G23" s="329">
        <f t="shared" si="1"/>
        <v>0</v>
      </c>
      <c r="H23" s="163"/>
      <c r="I23" s="163"/>
    </row>
    <row r="24" spans="1:9" s="47" customFormat="1" ht="30.75" customHeight="1" x14ac:dyDescent="0.25">
      <c r="A24" s="111" t="s">
        <v>344</v>
      </c>
      <c r="B24" s="262"/>
      <c r="C24" s="262"/>
      <c r="D24" s="262"/>
      <c r="E24" s="324"/>
      <c r="F24" s="324"/>
      <c r="G24" s="329">
        <f t="shared" si="1"/>
        <v>0</v>
      </c>
      <c r="H24" s="163"/>
      <c r="I24" s="163"/>
    </row>
    <row r="25" spans="1:9" s="47" customFormat="1" ht="30.75" customHeight="1" x14ac:dyDescent="0.25">
      <c r="A25" s="111" t="s">
        <v>365</v>
      </c>
      <c r="C25" s="272">
        <v>8956854</v>
      </c>
      <c r="D25" s="272">
        <v>8956854</v>
      </c>
      <c r="E25" s="272">
        <v>8956854</v>
      </c>
      <c r="F25" s="272">
        <v>8956854</v>
      </c>
      <c r="G25" s="329">
        <f t="shared" si="1"/>
        <v>0</v>
      </c>
      <c r="H25" s="163"/>
      <c r="I25" s="163"/>
    </row>
    <row r="26" spans="1:9" s="47" customFormat="1" ht="78.75" x14ac:dyDescent="0.25">
      <c r="A26" s="53" t="s">
        <v>32</v>
      </c>
      <c r="B26" s="65"/>
      <c r="C26" s="50"/>
      <c r="D26" s="300"/>
      <c r="E26" s="300"/>
      <c r="F26" s="300"/>
      <c r="G26" s="329">
        <f t="shared" si="1"/>
        <v>0</v>
      </c>
    </row>
    <row r="27" spans="1:9" s="47" customFormat="1" ht="94.5" x14ac:dyDescent="0.25">
      <c r="A27" s="53" t="s">
        <v>33</v>
      </c>
      <c r="B27" s="65"/>
      <c r="C27" s="50"/>
      <c r="D27" s="300"/>
      <c r="E27" s="300"/>
      <c r="F27" s="300"/>
      <c r="G27" s="329">
        <f t="shared" si="1"/>
        <v>0</v>
      </c>
    </row>
    <row r="28" spans="1:9" s="47" customFormat="1" ht="94.5" x14ac:dyDescent="0.25">
      <c r="A28" s="53" t="s">
        <v>34</v>
      </c>
      <c r="B28" s="65"/>
      <c r="C28" s="50"/>
      <c r="D28" s="300"/>
      <c r="E28" s="300"/>
      <c r="F28" s="300"/>
      <c r="G28" s="329">
        <f t="shared" si="1"/>
        <v>0</v>
      </c>
    </row>
    <row r="29" spans="1:9" s="47" customFormat="1" ht="28.35" customHeight="1" x14ac:dyDescent="0.25">
      <c r="A29" s="53" t="s">
        <v>223</v>
      </c>
      <c r="B29" s="65"/>
      <c r="C29" s="50"/>
      <c r="D29" s="300"/>
      <c r="E29" s="300"/>
      <c r="F29" s="300"/>
      <c r="G29" s="329">
        <f t="shared" si="1"/>
        <v>0</v>
      </c>
    </row>
    <row r="30" spans="1:9" s="47" customFormat="1" ht="28.35" customHeight="1" x14ac:dyDescent="0.25">
      <c r="A30" s="61" t="s">
        <v>6</v>
      </c>
      <c r="B30" s="9">
        <f>B31+B34+B42</f>
        <v>11333000</v>
      </c>
      <c r="C30" s="9">
        <f>C31+C34+C42</f>
        <v>11333000</v>
      </c>
      <c r="D30" s="9">
        <f>D31+D34+D42</f>
        <v>11333000</v>
      </c>
      <c r="E30" s="9">
        <f>E31+E34+E42</f>
        <v>11333000</v>
      </c>
      <c r="F30" s="9">
        <f>F31+F34+F42</f>
        <v>11333000</v>
      </c>
      <c r="G30" s="329">
        <f t="shared" si="1"/>
        <v>0</v>
      </c>
    </row>
    <row r="31" spans="1:9" s="47" customFormat="1" ht="18.600000000000001" customHeight="1" x14ac:dyDescent="0.25">
      <c r="A31" s="53" t="s">
        <v>35</v>
      </c>
      <c r="B31" s="65">
        <f>SUM(B32:B33)</f>
        <v>5883000</v>
      </c>
      <c r="C31" s="65">
        <f>SUM(C32:C33)</f>
        <v>5883000</v>
      </c>
      <c r="D31" s="272">
        <f>SUM(D32:D33)</f>
        <v>5883000</v>
      </c>
      <c r="E31" s="272">
        <f>SUM(E32:E33)</f>
        <v>5883000</v>
      </c>
      <c r="F31" s="272">
        <f>SUM(F32:F33)</f>
        <v>5883000</v>
      </c>
      <c r="G31" s="329">
        <f t="shared" si="1"/>
        <v>0</v>
      </c>
    </row>
    <row r="32" spans="1:9" s="47" customFormat="1" ht="18.600000000000001" customHeight="1" x14ac:dyDescent="0.25">
      <c r="A32" s="62" t="s">
        <v>306</v>
      </c>
      <c r="B32" s="65">
        <v>5583000</v>
      </c>
      <c r="C32" s="185">
        <v>5583000</v>
      </c>
      <c r="D32" s="185">
        <v>5583000</v>
      </c>
      <c r="E32" s="185">
        <v>5583000</v>
      </c>
      <c r="F32" s="185">
        <v>5583000</v>
      </c>
      <c r="G32" s="329">
        <f t="shared" si="1"/>
        <v>0</v>
      </c>
    </row>
    <row r="33" spans="1:7" s="47" customFormat="1" ht="18.600000000000001" customHeight="1" x14ac:dyDescent="0.25">
      <c r="A33" s="62" t="s">
        <v>36</v>
      </c>
      <c r="B33" s="65">
        <v>300000</v>
      </c>
      <c r="C33" s="10">
        <v>300000</v>
      </c>
      <c r="D33" s="10">
        <v>300000</v>
      </c>
      <c r="E33" s="10">
        <v>300000</v>
      </c>
      <c r="F33" s="10">
        <v>300000</v>
      </c>
      <c r="G33" s="329">
        <f t="shared" si="1"/>
        <v>0</v>
      </c>
    </row>
    <row r="34" spans="1:7" s="47" customFormat="1" ht="18.600000000000001" customHeight="1" x14ac:dyDescent="0.25">
      <c r="A34" s="53" t="s">
        <v>37</v>
      </c>
      <c r="B34" s="65">
        <f>B35+B37+B38</f>
        <v>5350000</v>
      </c>
      <c r="C34" s="65">
        <f>C35+C37+C38</f>
        <v>5350000</v>
      </c>
      <c r="D34" s="272">
        <f>D35+D37+D38</f>
        <v>5350000</v>
      </c>
      <c r="E34" s="272">
        <f>E35+E37+E38</f>
        <v>5350000</v>
      </c>
      <c r="F34" s="272">
        <f>F35+F37+F38</f>
        <v>5350000</v>
      </c>
      <c r="G34" s="329">
        <f t="shared" si="1"/>
        <v>0</v>
      </c>
    </row>
    <row r="35" spans="1:7" s="47" customFormat="1" ht="18.600000000000001" customHeight="1" x14ac:dyDescent="0.25">
      <c r="A35" s="53" t="s">
        <v>38</v>
      </c>
      <c r="B35" s="65">
        <f>SUM(B36)</f>
        <v>3500000</v>
      </c>
      <c r="C35" s="65">
        <f>SUM(C36)</f>
        <v>3500000</v>
      </c>
      <c r="D35" s="272">
        <f>SUM(D36)</f>
        <v>3500000</v>
      </c>
      <c r="E35" s="272">
        <f>SUM(E36)</f>
        <v>3500000</v>
      </c>
      <c r="F35" s="272">
        <f>SUM(F36)</f>
        <v>3500000</v>
      </c>
      <c r="G35" s="329">
        <f t="shared" si="1"/>
        <v>0</v>
      </c>
    </row>
    <row r="36" spans="1:7" s="47" customFormat="1" ht="18.600000000000001" customHeight="1" x14ac:dyDescent="0.25">
      <c r="A36" s="53" t="s">
        <v>39</v>
      </c>
      <c r="B36" s="65">
        <v>3500000</v>
      </c>
      <c r="C36" s="10">
        <v>3500000</v>
      </c>
      <c r="D36" s="10">
        <v>3500000</v>
      </c>
      <c r="E36" s="10">
        <v>3500000</v>
      </c>
      <c r="F36" s="10">
        <v>3500000</v>
      </c>
      <c r="G36" s="329">
        <f t="shared" si="1"/>
        <v>0</v>
      </c>
    </row>
    <row r="37" spans="1:7" s="47" customFormat="1" ht="18.600000000000001" customHeight="1" x14ac:dyDescent="0.25">
      <c r="A37" s="53" t="s">
        <v>40</v>
      </c>
      <c r="B37" s="65">
        <v>1800000</v>
      </c>
      <c r="C37" s="10">
        <v>1800000</v>
      </c>
      <c r="D37" s="10">
        <v>1800000</v>
      </c>
      <c r="E37" s="10">
        <v>1800000</v>
      </c>
      <c r="F37" s="10">
        <v>1800000</v>
      </c>
      <c r="G37" s="329">
        <f t="shared" si="1"/>
        <v>0</v>
      </c>
    </row>
    <row r="38" spans="1:7" s="47" customFormat="1" ht="18.600000000000001" customHeight="1" x14ac:dyDescent="0.25">
      <c r="A38" s="53" t="s">
        <v>41</v>
      </c>
      <c r="B38" s="65">
        <f>SUM(B39:B41)</f>
        <v>50000</v>
      </c>
      <c r="C38" s="65">
        <f>SUM(C39:C41)</f>
        <v>50000</v>
      </c>
      <c r="D38" s="272">
        <f>SUM(D39:D41)</f>
        <v>50000</v>
      </c>
      <c r="E38" s="272">
        <f>SUM(E39:E41)</f>
        <v>50000</v>
      </c>
      <c r="F38" s="272">
        <f>SUM(F39:F41)</f>
        <v>50000</v>
      </c>
      <c r="G38" s="329">
        <f t="shared" si="1"/>
        <v>0</v>
      </c>
    </row>
    <row r="39" spans="1:7" s="47" customFormat="1" ht="18.600000000000001" customHeight="1" x14ac:dyDescent="0.25">
      <c r="A39" s="53" t="s">
        <v>42</v>
      </c>
      <c r="B39" s="65">
        <v>50000</v>
      </c>
      <c r="C39" s="10">
        <v>50000</v>
      </c>
      <c r="D39" s="10">
        <v>50000</v>
      </c>
      <c r="E39" s="10">
        <v>50000</v>
      </c>
      <c r="F39" s="10">
        <v>50000</v>
      </c>
      <c r="G39" s="329">
        <f t="shared" si="1"/>
        <v>0</v>
      </c>
    </row>
    <row r="40" spans="1:7" s="47" customFormat="1" ht="18.600000000000001" customHeight="1" x14ac:dyDescent="0.25">
      <c r="A40" s="53" t="s">
        <v>43</v>
      </c>
      <c r="B40" s="65"/>
      <c r="C40" s="10"/>
      <c r="D40" s="303"/>
      <c r="E40" s="303"/>
      <c r="F40" s="303"/>
      <c r="G40" s="329">
        <f t="shared" si="1"/>
        <v>0</v>
      </c>
    </row>
    <row r="41" spans="1:7" s="47" customFormat="1" ht="18.600000000000001" customHeight="1" x14ac:dyDescent="0.25">
      <c r="A41" s="53" t="s">
        <v>213</v>
      </c>
      <c r="B41" s="65"/>
      <c r="C41" s="10"/>
      <c r="D41" s="303"/>
      <c r="E41" s="303"/>
      <c r="F41" s="303"/>
      <c r="G41" s="329">
        <f t="shared" si="1"/>
        <v>0</v>
      </c>
    </row>
    <row r="42" spans="1:7" s="47" customFormat="1" ht="30.75" customHeight="1" x14ac:dyDescent="0.25">
      <c r="A42" s="53" t="s">
        <v>44</v>
      </c>
      <c r="B42" s="65">
        <v>100000</v>
      </c>
      <c r="C42" s="10">
        <v>100000</v>
      </c>
      <c r="D42" s="10">
        <v>100000</v>
      </c>
      <c r="E42" s="10">
        <v>100000</v>
      </c>
      <c r="F42" s="10">
        <v>100000</v>
      </c>
      <c r="G42" s="329">
        <f t="shared" si="1"/>
        <v>0</v>
      </c>
    </row>
    <row r="43" spans="1:7" s="47" customFormat="1" ht="28.35" customHeight="1" x14ac:dyDescent="0.25">
      <c r="A43" s="61" t="s">
        <v>7</v>
      </c>
      <c r="B43" s="9">
        <f>B44+B45+B48+B49+B51+B52+B53+B54+B55</f>
        <v>3140000</v>
      </c>
      <c r="C43" s="9">
        <f>C44+C45+C48+C49+C51+C52+C53+C54+C55</f>
        <v>3290000</v>
      </c>
      <c r="D43" s="9">
        <f>D44+D45+D48+D49+D51+D52+D53+D54+D55+D46</f>
        <v>4350000</v>
      </c>
      <c r="E43" s="9">
        <f>E44+E45+E48+E49+E51+E52+E53+E54+E55+E46</f>
        <v>4350000</v>
      </c>
      <c r="F43" s="9">
        <f>F44+F45+F48+F49+F51+F52+F53+F54+F55+F46</f>
        <v>4350000</v>
      </c>
      <c r="G43" s="329">
        <f t="shared" si="1"/>
        <v>0</v>
      </c>
    </row>
    <row r="44" spans="1:7" s="47" customFormat="1" ht="18.600000000000001" customHeight="1" x14ac:dyDescent="0.25">
      <c r="A44" s="62" t="s">
        <v>45</v>
      </c>
      <c r="B44" s="65"/>
      <c r="C44" s="10"/>
      <c r="D44" s="303"/>
      <c r="E44" s="303"/>
      <c r="F44" s="303"/>
      <c r="G44" s="329">
        <f t="shared" si="1"/>
        <v>0</v>
      </c>
    </row>
    <row r="45" spans="1:7" s="70" customFormat="1" ht="18.600000000000001" customHeight="1" x14ac:dyDescent="0.25">
      <c r="A45" s="62" t="s">
        <v>46</v>
      </c>
      <c r="B45" s="65">
        <v>20000</v>
      </c>
      <c r="C45" s="78">
        <v>20000</v>
      </c>
      <c r="D45" s="78">
        <v>20000</v>
      </c>
      <c r="E45" s="78">
        <v>20000</v>
      </c>
      <c r="F45" s="78">
        <v>20000</v>
      </c>
      <c r="G45" s="329">
        <f t="shared" si="1"/>
        <v>0</v>
      </c>
    </row>
    <row r="46" spans="1:7" s="70" customFormat="1" ht="18.600000000000001" customHeight="1" x14ac:dyDescent="0.25">
      <c r="A46" s="53" t="s">
        <v>376</v>
      </c>
      <c r="B46" s="272"/>
      <c r="C46" s="78"/>
      <c r="D46" s="304">
        <v>1060000</v>
      </c>
      <c r="E46" s="304">
        <v>1060000</v>
      </c>
      <c r="F46" s="304">
        <v>1060000</v>
      </c>
      <c r="G46" s="329">
        <f t="shared" si="1"/>
        <v>0</v>
      </c>
    </row>
    <row r="47" spans="1:7" s="72" customFormat="1" ht="18.600000000000001" customHeight="1" x14ac:dyDescent="0.25">
      <c r="A47" s="62" t="s">
        <v>377</v>
      </c>
      <c r="B47" s="65"/>
      <c r="C47" s="71"/>
      <c r="D47" s="305"/>
      <c r="E47" s="305"/>
      <c r="F47" s="305"/>
      <c r="G47" s="329">
        <f t="shared" si="1"/>
        <v>0</v>
      </c>
    </row>
    <row r="48" spans="1:7" s="74" customFormat="1" ht="18.600000000000001" customHeight="1" x14ac:dyDescent="0.25">
      <c r="A48" s="53" t="s">
        <v>47</v>
      </c>
      <c r="B48" s="65">
        <v>20000</v>
      </c>
      <c r="C48" s="73">
        <f>20000+118110</f>
        <v>138110</v>
      </c>
      <c r="D48" s="73">
        <f>20000+118110</f>
        <v>138110</v>
      </c>
      <c r="E48" s="73">
        <f>20000+118110</f>
        <v>138110</v>
      </c>
      <c r="F48" s="73">
        <f>20000+118110</f>
        <v>138110</v>
      </c>
      <c r="G48" s="329">
        <f t="shared" si="1"/>
        <v>0</v>
      </c>
    </row>
    <row r="49" spans="1:7" s="74" customFormat="1" ht="18.600000000000001" customHeight="1" x14ac:dyDescent="0.25">
      <c r="A49" s="53" t="s">
        <v>48</v>
      </c>
      <c r="B49" s="65">
        <f>B50</f>
        <v>2400000</v>
      </c>
      <c r="C49" s="73">
        <v>2400000</v>
      </c>
      <c r="D49" s="73">
        <v>2400000</v>
      </c>
      <c r="E49" s="73">
        <v>2400000</v>
      </c>
      <c r="F49" s="73">
        <v>2400000</v>
      </c>
      <c r="G49" s="329">
        <f t="shared" si="1"/>
        <v>0</v>
      </c>
    </row>
    <row r="50" spans="1:7" s="74" customFormat="1" ht="18.600000000000001" customHeight="1" x14ac:dyDescent="0.25">
      <c r="A50" s="75" t="s">
        <v>242</v>
      </c>
      <c r="B50" s="65">
        <v>2400000</v>
      </c>
      <c r="C50" s="73">
        <v>2400000</v>
      </c>
      <c r="D50" s="73">
        <v>2400000</v>
      </c>
      <c r="E50" s="73">
        <v>2400000</v>
      </c>
      <c r="F50" s="73">
        <v>2400000</v>
      </c>
      <c r="G50" s="329">
        <f t="shared" si="1"/>
        <v>0</v>
      </c>
    </row>
    <row r="51" spans="1:7" s="74" customFormat="1" ht="18.600000000000001" customHeight="1" x14ac:dyDescent="0.25">
      <c r="A51" s="75" t="s">
        <v>49</v>
      </c>
      <c r="B51" s="65"/>
      <c r="C51" s="73"/>
      <c r="D51" s="306"/>
      <c r="E51" s="306"/>
      <c r="F51" s="306"/>
      <c r="G51" s="329">
        <f t="shared" si="1"/>
        <v>0</v>
      </c>
    </row>
    <row r="52" spans="1:7" s="74" customFormat="1" ht="18.600000000000001" customHeight="1" x14ac:dyDescent="0.25">
      <c r="A52" s="62" t="s">
        <v>50</v>
      </c>
      <c r="B52" s="65">
        <v>700000</v>
      </c>
      <c r="C52" s="73">
        <f>700000+31890</f>
        <v>731890</v>
      </c>
      <c r="D52" s="73">
        <f>700000+31890</f>
        <v>731890</v>
      </c>
      <c r="E52" s="73">
        <f>700000+31890</f>
        <v>731890</v>
      </c>
      <c r="F52" s="73">
        <f>700000+31890</f>
        <v>731890</v>
      </c>
      <c r="G52" s="329">
        <f t="shared" si="1"/>
        <v>0</v>
      </c>
    </row>
    <row r="53" spans="1:7" s="74" customFormat="1" ht="18.600000000000001" customHeight="1" x14ac:dyDescent="0.25">
      <c r="A53" s="62" t="s">
        <v>51</v>
      </c>
      <c r="B53" s="65"/>
      <c r="C53" s="73">
        <v>0</v>
      </c>
      <c r="D53" s="73">
        <v>0</v>
      </c>
      <c r="E53" s="306"/>
      <c r="F53" s="306"/>
      <c r="G53" s="329">
        <f t="shared" si="1"/>
        <v>0</v>
      </c>
    </row>
    <row r="54" spans="1:7" s="74" customFormat="1" ht="18.600000000000001" customHeight="1" x14ac:dyDescent="0.25">
      <c r="A54" s="62" t="s">
        <v>52</v>
      </c>
      <c r="B54" s="65"/>
      <c r="C54" s="73">
        <v>0</v>
      </c>
      <c r="D54" s="73">
        <v>0</v>
      </c>
      <c r="E54" s="306"/>
      <c r="F54" s="306"/>
      <c r="G54" s="329">
        <f t="shared" si="1"/>
        <v>0</v>
      </c>
    </row>
    <row r="55" spans="1:7" s="74" customFormat="1" ht="33" customHeight="1" x14ac:dyDescent="0.25">
      <c r="A55" s="75" t="s">
        <v>214</v>
      </c>
      <c r="B55" s="65"/>
      <c r="C55" s="73"/>
      <c r="D55" s="73"/>
      <c r="E55" s="306"/>
      <c r="F55" s="306"/>
      <c r="G55" s="329">
        <f t="shared" si="1"/>
        <v>0</v>
      </c>
    </row>
    <row r="56" spans="1:7" s="74" customFormat="1" ht="28.35" customHeight="1" x14ac:dyDescent="0.25">
      <c r="A56" s="61" t="s">
        <v>8</v>
      </c>
      <c r="B56" s="9">
        <f>SUM(B57:B60)</f>
        <v>0</v>
      </c>
      <c r="C56" s="9">
        <f>SUM(C57:C60)</f>
        <v>0</v>
      </c>
      <c r="D56" s="9">
        <f>SUM(D57:D60)</f>
        <v>0</v>
      </c>
      <c r="E56" s="9">
        <f>SUM(E57:E60)</f>
        <v>0</v>
      </c>
      <c r="F56" s="302"/>
      <c r="G56" s="329">
        <f t="shared" si="1"/>
        <v>0</v>
      </c>
    </row>
    <row r="57" spans="1:7" s="74" customFormat="1" ht="18.600000000000001" customHeight="1" x14ac:dyDescent="0.25">
      <c r="A57" s="53" t="s">
        <v>53</v>
      </c>
      <c r="B57" s="65"/>
      <c r="C57" s="73"/>
      <c r="D57" s="306"/>
      <c r="E57" s="306"/>
      <c r="F57" s="306"/>
      <c r="G57" s="329">
        <f t="shared" si="1"/>
        <v>0</v>
      </c>
    </row>
    <row r="58" spans="1:7" s="70" customFormat="1" ht="18.600000000000001" customHeight="1" x14ac:dyDescent="0.25">
      <c r="A58" s="53" t="s">
        <v>54</v>
      </c>
      <c r="B58" s="65"/>
      <c r="C58" s="69"/>
      <c r="D58" s="307"/>
      <c r="E58" s="307"/>
      <c r="F58" s="307"/>
      <c r="G58" s="329">
        <f t="shared" si="1"/>
        <v>0</v>
      </c>
    </row>
    <row r="59" spans="1:7" s="70" customFormat="1" ht="18.600000000000001" customHeight="1" x14ac:dyDescent="0.25">
      <c r="A59" s="76" t="s">
        <v>55</v>
      </c>
      <c r="B59" s="65"/>
      <c r="C59" s="69"/>
      <c r="D59" s="307"/>
      <c r="E59" s="307"/>
      <c r="F59" s="307"/>
      <c r="G59" s="329">
        <f t="shared" si="1"/>
        <v>0</v>
      </c>
    </row>
    <row r="60" spans="1:7" s="74" customFormat="1" ht="18.600000000000001" customHeight="1" x14ac:dyDescent="0.25">
      <c r="A60" s="53" t="s">
        <v>56</v>
      </c>
      <c r="B60" s="65"/>
      <c r="C60" s="73"/>
      <c r="D60" s="306"/>
      <c r="E60" s="306"/>
      <c r="F60" s="306"/>
      <c r="G60" s="329">
        <f t="shared" si="1"/>
        <v>0</v>
      </c>
    </row>
    <row r="61" spans="1:7" s="74" customFormat="1" ht="28.35" customHeight="1" x14ac:dyDescent="0.25">
      <c r="A61" s="61" t="s">
        <v>9</v>
      </c>
      <c r="B61" s="9">
        <f>SUM(B62:B64)</f>
        <v>0</v>
      </c>
      <c r="C61" s="9">
        <f>SUM(C62:C64)</f>
        <v>0</v>
      </c>
      <c r="D61" s="9">
        <f t="shared" ref="D61:E61" si="2">SUM(D62:D64)</f>
        <v>0</v>
      </c>
      <c r="E61" s="9">
        <f t="shared" si="2"/>
        <v>0</v>
      </c>
      <c r="F61" s="302"/>
      <c r="G61" s="329">
        <f t="shared" si="1"/>
        <v>0</v>
      </c>
    </row>
    <row r="62" spans="1:7" s="74" customFormat="1" ht="78.75" x14ac:dyDescent="0.25">
      <c r="A62" s="53" t="s">
        <v>332</v>
      </c>
      <c r="B62" s="65"/>
      <c r="C62" s="73"/>
      <c r="D62" s="306"/>
      <c r="E62" s="306"/>
      <c r="F62" s="306"/>
      <c r="G62" s="329">
        <f t="shared" si="1"/>
        <v>0</v>
      </c>
    </row>
    <row r="63" spans="1:7" s="70" customFormat="1" ht="110.25" x14ac:dyDescent="0.25">
      <c r="A63" s="53" t="s">
        <v>57</v>
      </c>
      <c r="B63" s="65"/>
      <c r="C63" s="69"/>
      <c r="D63" s="307"/>
      <c r="E63" s="307"/>
      <c r="F63" s="307"/>
      <c r="G63" s="329">
        <f t="shared" si="1"/>
        <v>0</v>
      </c>
    </row>
    <row r="64" spans="1:7" s="70" customFormat="1" ht="30.75" customHeight="1" x14ac:dyDescent="0.25">
      <c r="A64" s="53" t="s">
        <v>58</v>
      </c>
      <c r="B64" s="65"/>
      <c r="C64" s="69"/>
      <c r="D64" s="307"/>
      <c r="E64" s="307"/>
      <c r="F64" s="307"/>
      <c r="G64" s="329">
        <f t="shared" si="1"/>
        <v>0</v>
      </c>
    </row>
    <row r="65" spans="1:9" s="74" customFormat="1" ht="34.5" customHeight="1" x14ac:dyDescent="0.25">
      <c r="A65" s="77" t="s">
        <v>10</v>
      </c>
      <c r="B65" s="9">
        <f>B66+B67+B68</f>
        <v>0</v>
      </c>
      <c r="C65" s="317">
        <v>0</v>
      </c>
      <c r="D65" s="316">
        <f>D66+D67+D68</f>
        <v>3000000</v>
      </c>
      <c r="E65" s="316">
        <f>E66+E67+E68</f>
        <v>3000000</v>
      </c>
      <c r="F65" s="316">
        <f>F66+F67+F68</f>
        <v>3000000</v>
      </c>
      <c r="G65" s="329">
        <f t="shared" si="1"/>
        <v>0</v>
      </c>
    </row>
    <row r="66" spans="1:9" s="74" customFormat="1" ht="78.75" x14ac:dyDescent="0.25">
      <c r="A66" s="53" t="s">
        <v>59</v>
      </c>
      <c r="B66" s="65"/>
      <c r="C66" s="73"/>
      <c r="D66" s="306"/>
      <c r="E66" s="306"/>
      <c r="F66" s="306"/>
      <c r="G66" s="329">
        <f t="shared" si="1"/>
        <v>0</v>
      </c>
    </row>
    <row r="67" spans="1:9" s="70" customFormat="1" ht="110.25" x14ac:dyDescent="0.25">
      <c r="A67" s="53" t="s">
        <v>60</v>
      </c>
      <c r="B67" s="65"/>
      <c r="C67" s="79"/>
      <c r="D67" s="308"/>
      <c r="E67" s="308"/>
      <c r="F67" s="308"/>
      <c r="G67" s="329">
        <f t="shared" si="1"/>
        <v>0</v>
      </c>
    </row>
    <row r="68" spans="1:9" s="74" customFormat="1" ht="47.25" x14ac:dyDescent="0.25">
      <c r="A68" s="53" t="s">
        <v>61</v>
      </c>
      <c r="B68" s="65"/>
      <c r="C68" s="73"/>
      <c r="D68" s="325">
        <f>D69</f>
        <v>3000000</v>
      </c>
      <c r="E68" s="325">
        <f>E69</f>
        <v>3000000</v>
      </c>
      <c r="F68" s="325">
        <f>F69</f>
        <v>3000000</v>
      </c>
      <c r="G68" s="329">
        <f t="shared" si="1"/>
        <v>0</v>
      </c>
    </row>
    <row r="69" spans="1:9" s="74" customFormat="1" ht="31.5" x14ac:dyDescent="0.25">
      <c r="A69" s="53" t="s">
        <v>378</v>
      </c>
      <c r="B69" s="272"/>
      <c r="C69" s="73"/>
      <c r="D69" s="325">
        <v>3000000</v>
      </c>
      <c r="E69" s="325">
        <v>3000000</v>
      </c>
      <c r="F69" s="325">
        <v>3000000</v>
      </c>
      <c r="G69" s="329">
        <f t="shared" si="1"/>
        <v>0</v>
      </c>
    </row>
    <row r="70" spans="1:9" s="74" customFormat="1" ht="28.35" customHeight="1" x14ac:dyDescent="0.25">
      <c r="A70" s="61" t="s">
        <v>11</v>
      </c>
      <c r="B70" s="9">
        <f>B65+B61+B56+B43+B30+B21+B5</f>
        <v>50947348</v>
      </c>
      <c r="C70" s="9">
        <f>C65+C61+C56+C43+C30+C21+C5</f>
        <v>60141682</v>
      </c>
      <c r="D70" s="9">
        <f>D65+D61+D56+D43+D30+D21+D5</f>
        <v>77300515</v>
      </c>
      <c r="E70" s="9">
        <f>E65+E61+E56+E43+E30+E21+E5</f>
        <v>77922815</v>
      </c>
      <c r="F70" s="9">
        <f>F65+F61+F56+F43+F30+F21+F5</f>
        <v>80300666</v>
      </c>
      <c r="G70" s="329">
        <f t="shared" ref="G70:G79" si="3">F70-E70</f>
        <v>2377851</v>
      </c>
    </row>
    <row r="71" spans="1:9" s="70" customFormat="1" ht="31.7" customHeight="1" x14ac:dyDescent="0.25">
      <c r="A71" s="77" t="s">
        <v>62</v>
      </c>
      <c r="B71" s="9">
        <f>SUM(B72:B73)</f>
        <v>20000000</v>
      </c>
      <c r="C71" s="9">
        <f>SUM(C72:C72)</f>
        <v>28648541</v>
      </c>
      <c r="D71" s="9">
        <f>SUM(D72:D72)</f>
        <v>28648541</v>
      </c>
      <c r="E71" s="9">
        <f>SUM(E72:E72)</f>
        <v>28648541</v>
      </c>
      <c r="F71" s="9">
        <f>SUM(F72:F72)</f>
        <v>28648541</v>
      </c>
      <c r="G71" s="329">
        <f t="shared" si="3"/>
        <v>0</v>
      </c>
      <c r="H71" s="80"/>
    </row>
    <row r="72" spans="1:9" s="70" customFormat="1" ht="31.7" customHeight="1" x14ac:dyDescent="0.25">
      <c r="A72" s="77" t="s">
        <v>323</v>
      </c>
      <c r="B72" s="68">
        <v>20000000</v>
      </c>
      <c r="C72" s="249">
        <v>28648541</v>
      </c>
      <c r="D72" s="249">
        <v>28648541</v>
      </c>
      <c r="E72" s="249">
        <v>28648541</v>
      </c>
      <c r="F72" s="249">
        <v>28648541</v>
      </c>
      <c r="G72" s="329">
        <f t="shared" si="3"/>
        <v>0</v>
      </c>
      <c r="H72" s="80"/>
    </row>
    <row r="73" spans="1:9" s="70" customFormat="1" ht="33" customHeight="1" x14ac:dyDescent="0.25">
      <c r="A73" s="53" t="s">
        <v>63</v>
      </c>
      <c r="B73" s="65"/>
      <c r="C73" s="78"/>
      <c r="D73" s="304"/>
      <c r="E73" s="304"/>
      <c r="F73" s="304"/>
      <c r="G73" s="329">
        <f t="shared" si="3"/>
        <v>0</v>
      </c>
    </row>
    <row r="74" spans="1:9" s="74" customFormat="1" ht="47.25" customHeight="1" x14ac:dyDescent="0.25">
      <c r="A74" s="77" t="s">
        <v>64</v>
      </c>
      <c r="B74" s="9">
        <f>B76+B75</f>
        <v>907476</v>
      </c>
      <c r="C74" s="9">
        <f>C76+C75</f>
        <v>907476</v>
      </c>
      <c r="D74" s="9">
        <f>D76+D75</f>
        <v>963239</v>
      </c>
      <c r="E74" s="9">
        <f>E76+E75</f>
        <v>963239</v>
      </c>
      <c r="F74" s="9">
        <f>F76+F75</f>
        <v>2205230</v>
      </c>
      <c r="G74" s="329">
        <f t="shared" si="3"/>
        <v>1241991</v>
      </c>
    </row>
    <row r="75" spans="1:9" s="74" customFormat="1" ht="18.600000000000001" customHeight="1" x14ac:dyDescent="0.25">
      <c r="A75" s="53" t="s">
        <v>289</v>
      </c>
      <c r="B75" s="65"/>
      <c r="C75" s="78"/>
      <c r="D75" s="78"/>
      <c r="E75" s="304"/>
      <c r="F75" s="304"/>
      <c r="G75" s="329">
        <f t="shared" si="3"/>
        <v>0</v>
      </c>
    </row>
    <row r="76" spans="1:9" s="74" customFormat="1" ht="30" customHeight="1" x14ac:dyDescent="0.25">
      <c r="A76" s="62" t="s">
        <v>291</v>
      </c>
      <c r="B76" s="272">
        <v>907476</v>
      </c>
      <c r="C76" s="318">
        <v>907476</v>
      </c>
      <c r="D76" s="318">
        <f>907476+55763</f>
        <v>963239</v>
      </c>
      <c r="E76" s="318">
        <f>907476+55763</f>
        <v>963239</v>
      </c>
      <c r="F76" s="318">
        <f>963239+1241991</f>
        <v>2205230</v>
      </c>
      <c r="G76" s="329">
        <f t="shared" si="3"/>
        <v>1241991</v>
      </c>
    </row>
    <row r="77" spans="1:9" s="74" customFormat="1" ht="18.600000000000001" customHeight="1" x14ac:dyDescent="0.25">
      <c r="A77" s="62" t="s">
        <v>310</v>
      </c>
      <c r="B77" s="272"/>
      <c r="C77" s="319"/>
      <c r="D77" s="319"/>
      <c r="E77" s="325"/>
      <c r="F77" s="325"/>
      <c r="G77" s="329">
        <f t="shared" si="3"/>
        <v>0</v>
      </c>
    </row>
    <row r="78" spans="1:9" s="70" customFormat="1" ht="27" customHeight="1" x14ac:dyDescent="0.25">
      <c r="A78" s="77" t="s">
        <v>12</v>
      </c>
      <c r="B78" s="9">
        <f>B74+B71</f>
        <v>20907476</v>
      </c>
      <c r="C78" s="9">
        <f>C74+C71</f>
        <v>29556017</v>
      </c>
      <c r="D78" s="9">
        <f>D74+D71</f>
        <v>29611780</v>
      </c>
      <c r="E78" s="9">
        <f>E74+E71</f>
        <v>29611780</v>
      </c>
      <c r="F78" s="9">
        <f>F74+F71</f>
        <v>30853771</v>
      </c>
      <c r="G78" s="329">
        <f t="shared" si="3"/>
        <v>1241991</v>
      </c>
    </row>
    <row r="79" spans="1:9" s="70" customFormat="1" ht="28.35" customHeight="1" x14ac:dyDescent="0.25">
      <c r="A79" s="61" t="s">
        <v>65</v>
      </c>
      <c r="B79" s="9">
        <f>B70+B78</f>
        <v>71854824</v>
      </c>
      <c r="C79" s="9">
        <f>C70+C78</f>
        <v>89697699</v>
      </c>
      <c r="D79" s="9">
        <f>D70+D78</f>
        <v>106912295</v>
      </c>
      <c r="E79" s="9">
        <f>E70+E78</f>
        <v>107534595</v>
      </c>
      <c r="F79" s="9">
        <f>F70+F78</f>
        <v>111154437</v>
      </c>
      <c r="G79" s="329">
        <f t="shared" si="3"/>
        <v>3619842</v>
      </c>
      <c r="H79" s="80"/>
      <c r="I79" s="80"/>
    </row>
    <row r="80" spans="1:9" s="70" customFormat="1" ht="18.600000000000001" customHeight="1" x14ac:dyDescent="0.25">
      <c r="A80" s="81" t="s">
        <v>224</v>
      </c>
      <c r="B80" s="9">
        <v>6</v>
      </c>
      <c r="C80" s="9">
        <v>6</v>
      </c>
      <c r="D80" s="9">
        <v>7</v>
      </c>
      <c r="E80" s="302">
        <v>7</v>
      </c>
      <c r="F80" s="302"/>
      <c r="G80" s="329"/>
    </row>
    <row r="81" spans="1:7" s="70" customFormat="1" ht="18.600000000000001" customHeight="1" thickBot="1" x14ac:dyDescent="0.3">
      <c r="A81" s="82" t="s">
        <v>66</v>
      </c>
      <c r="B81" s="43">
        <v>3</v>
      </c>
      <c r="C81" s="43">
        <v>3</v>
      </c>
      <c r="D81" s="43">
        <v>4</v>
      </c>
      <c r="E81" s="323">
        <v>4</v>
      </c>
      <c r="F81" s="323"/>
      <c r="G81" s="329"/>
    </row>
    <row r="83" spans="1:7" x14ac:dyDescent="0.25">
      <c r="C83" s="83"/>
      <c r="D83" s="83"/>
      <c r="E83" s="83"/>
      <c r="F83" s="83"/>
    </row>
  </sheetData>
  <sheetProtection selectLockedCells="1" selectUnlockedCells="1"/>
  <mergeCells count="1">
    <mergeCell ref="A3:G3"/>
  </mergeCells>
  <phoneticPr fontId="21" type="noConversion"/>
  <printOptions horizontalCentered="1" gridLines="1"/>
  <pageMargins left="0.13541666666666666" right="0.21875" top="1.1811023622047245" bottom="0.23622047244094491" header="0.27559055118110237" footer="0.51181102362204722"/>
  <pageSetup paperSize="9" firstPageNumber="0" fitToHeight="0" orientation="portrait" r:id="rId1"/>
  <headerFooter alignWithMargins="0">
    <oddHeader>&amp;C&amp;"Times New Roman,Normál"&amp;12 2. melléklet
Az önkormányzat 2018. évi költségvetéséről szóló 3/2019. (III. 14.)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view="pageLayout" zoomScale="80" zoomScaleNormal="100" zoomScalePageLayoutView="80" workbookViewId="0">
      <selection activeCell="O7" sqref="O7"/>
    </sheetView>
  </sheetViews>
  <sheetFormatPr defaultRowHeight="15.75" x14ac:dyDescent="0.25"/>
  <cols>
    <col min="1" max="1" width="61.5703125" style="199" customWidth="1"/>
    <col min="2" max="2" width="6.28515625" style="199" customWidth="1"/>
    <col min="3" max="3" width="9.140625" style="199" customWidth="1"/>
    <col min="4" max="4" width="8.7109375" style="199" customWidth="1"/>
    <col min="5" max="5" width="17" style="199" customWidth="1"/>
    <col min="6" max="6" width="19" style="199" customWidth="1"/>
    <col min="7" max="7" width="14.85546875" style="264" customWidth="1"/>
    <col min="8" max="8" width="14.140625" style="264" customWidth="1"/>
    <col min="9" max="9" width="14.85546875" style="264" customWidth="1"/>
    <col min="10" max="10" width="13.140625" style="199" customWidth="1"/>
    <col min="11" max="259" width="9.140625" style="199"/>
    <col min="260" max="260" width="77.5703125" style="199" customWidth="1"/>
    <col min="261" max="261" width="8.42578125" style="199" customWidth="1"/>
    <col min="262" max="262" width="9.140625" style="199"/>
    <col min="263" max="263" width="11" style="199" bestFit="1" customWidth="1"/>
    <col min="264" max="264" width="15.28515625" style="199" customWidth="1"/>
    <col min="265" max="515" width="9.140625" style="199"/>
    <col min="516" max="516" width="77.5703125" style="199" customWidth="1"/>
    <col min="517" max="517" width="8.42578125" style="199" customWidth="1"/>
    <col min="518" max="518" width="9.140625" style="199"/>
    <col min="519" max="519" width="11" style="199" bestFit="1" customWidth="1"/>
    <col min="520" max="520" width="15.28515625" style="199" customWidth="1"/>
    <col min="521" max="771" width="9.140625" style="199"/>
    <col min="772" max="772" width="77.5703125" style="199" customWidth="1"/>
    <col min="773" max="773" width="8.42578125" style="199" customWidth="1"/>
    <col min="774" max="774" width="9.140625" style="199"/>
    <col min="775" max="775" width="11" style="199" bestFit="1" customWidth="1"/>
    <col min="776" max="776" width="15.28515625" style="199" customWidth="1"/>
    <col min="777" max="1027" width="9.140625" style="199"/>
    <col min="1028" max="1028" width="77.5703125" style="199" customWidth="1"/>
    <col min="1029" max="1029" width="8.42578125" style="199" customWidth="1"/>
    <col min="1030" max="1030" width="9.140625" style="199"/>
    <col min="1031" max="1031" width="11" style="199" bestFit="1" customWidth="1"/>
    <col min="1032" max="1032" width="15.28515625" style="199" customWidth="1"/>
    <col min="1033" max="1283" width="9.140625" style="199"/>
    <col min="1284" max="1284" width="77.5703125" style="199" customWidth="1"/>
    <col min="1285" max="1285" width="8.42578125" style="199" customWidth="1"/>
    <col min="1286" max="1286" width="9.140625" style="199"/>
    <col min="1287" max="1287" width="11" style="199" bestFit="1" customWidth="1"/>
    <col min="1288" max="1288" width="15.28515625" style="199" customWidth="1"/>
    <col min="1289" max="1539" width="9.140625" style="199"/>
    <col min="1540" max="1540" width="77.5703125" style="199" customWidth="1"/>
    <col min="1541" max="1541" width="8.42578125" style="199" customWidth="1"/>
    <col min="1542" max="1542" width="9.140625" style="199"/>
    <col min="1543" max="1543" width="11" style="199" bestFit="1" customWidth="1"/>
    <col min="1544" max="1544" width="15.28515625" style="199" customWidth="1"/>
    <col min="1545" max="1795" width="9.140625" style="199"/>
    <col min="1796" max="1796" width="77.5703125" style="199" customWidth="1"/>
    <col min="1797" max="1797" width="8.42578125" style="199" customWidth="1"/>
    <col min="1798" max="1798" width="9.140625" style="199"/>
    <col min="1799" max="1799" width="11" style="199" bestFit="1" customWidth="1"/>
    <col min="1800" max="1800" width="15.28515625" style="199" customWidth="1"/>
    <col min="1801" max="2051" width="9.140625" style="199"/>
    <col min="2052" max="2052" width="77.5703125" style="199" customWidth="1"/>
    <col min="2053" max="2053" width="8.42578125" style="199" customWidth="1"/>
    <col min="2054" max="2054" width="9.140625" style="199"/>
    <col min="2055" max="2055" width="11" style="199" bestFit="1" customWidth="1"/>
    <col min="2056" max="2056" width="15.28515625" style="199" customWidth="1"/>
    <col min="2057" max="2307" width="9.140625" style="199"/>
    <col min="2308" max="2308" width="77.5703125" style="199" customWidth="1"/>
    <col min="2309" max="2309" width="8.42578125" style="199" customWidth="1"/>
    <col min="2310" max="2310" width="9.140625" style="199"/>
    <col min="2311" max="2311" width="11" style="199" bestFit="1" customWidth="1"/>
    <col min="2312" max="2312" width="15.28515625" style="199" customWidth="1"/>
    <col min="2313" max="2563" width="9.140625" style="199"/>
    <col min="2564" max="2564" width="77.5703125" style="199" customWidth="1"/>
    <col min="2565" max="2565" width="8.42578125" style="199" customWidth="1"/>
    <col min="2566" max="2566" width="9.140625" style="199"/>
    <col min="2567" max="2567" width="11" style="199" bestFit="1" customWidth="1"/>
    <col min="2568" max="2568" width="15.28515625" style="199" customWidth="1"/>
    <col min="2569" max="2819" width="9.140625" style="199"/>
    <col min="2820" max="2820" width="77.5703125" style="199" customWidth="1"/>
    <col min="2821" max="2821" width="8.42578125" style="199" customWidth="1"/>
    <col min="2822" max="2822" width="9.140625" style="199"/>
    <col min="2823" max="2823" width="11" style="199" bestFit="1" customWidth="1"/>
    <col min="2824" max="2824" width="15.28515625" style="199" customWidth="1"/>
    <col min="2825" max="3075" width="9.140625" style="199"/>
    <col min="3076" max="3076" width="77.5703125" style="199" customWidth="1"/>
    <col min="3077" max="3077" width="8.42578125" style="199" customWidth="1"/>
    <col min="3078" max="3078" width="9.140625" style="199"/>
    <col min="3079" max="3079" width="11" style="199" bestFit="1" customWidth="1"/>
    <col min="3080" max="3080" width="15.28515625" style="199" customWidth="1"/>
    <col min="3081" max="3331" width="9.140625" style="199"/>
    <col min="3332" max="3332" width="77.5703125" style="199" customWidth="1"/>
    <col min="3333" max="3333" width="8.42578125" style="199" customWidth="1"/>
    <col min="3334" max="3334" width="9.140625" style="199"/>
    <col min="3335" max="3335" width="11" style="199" bestFit="1" customWidth="1"/>
    <col min="3336" max="3336" width="15.28515625" style="199" customWidth="1"/>
    <col min="3337" max="3587" width="9.140625" style="199"/>
    <col min="3588" max="3588" width="77.5703125" style="199" customWidth="1"/>
    <col min="3589" max="3589" width="8.42578125" style="199" customWidth="1"/>
    <col min="3590" max="3590" width="9.140625" style="199"/>
    <col min="3591" max="3591" width="11" style="199" bestFit="1" customWidth="1"/>
    <col min="3592" max="3592" width="15.28515625" style="199" customWidth="1"/>
    <col min="3593" max="3843" width="9.140625" style="199"/>
    <col min="3844" max="3844" width="77.5703125" style="199" customWidth="1"/>
    <col min="3845" max="3845" width="8.42578125" style="199" customWidth="1"/>
    <col min="3846" max="3846" width="9.140625" style="199"/>
    <col min="3847" max="3847" width="11" style="199" bestFit="1" customWidth="1"/>
    <col min="3848" max="3848" width="15.28515625" style="199" customWidth="1"/>
    <col min="3849" max="4099" width="9.140625" style="199"/>
    <col min="4100" max="4100" width="77.5703125" style="199" customWidth="1"/>
    <col min="4101" max="4101" width="8.42578125" style="199" customWidth="1"/>
    <col min="4102" max="4102" width="9.140625" style="199"/>
    <col min="4103" max="4103" width="11" style="199" bestFit="1" customWidth="1"/>
    <col min="4104" max="4104" width="15.28515625" style="199" customWidth="1"/>
    <col min="4105" max="4355" width="9.140625" style="199"/>
    <col min="4356" max="4356" width="77.5703125" style="199" customWidth="1"/>
    <col min="4357" max="4357" width="8.42578125" style="199" customWidth="1"/>
    <col min="4358" max="4358" width="9.140625" style="199"/>
    <col min="4359" max="4359" width="11" style="199" bestFit="1" customWidth="1"/>
    <col min="4360" max="4360" width="15.28515625" style="199" customWidth="1"/>
    <col min="4361" max="4611" width="9.140625" style="199"/>
    <col min="4612" max="4612" width="77.5703125" style="199" customWidth="1"/>
    <col min="4613" max="4613" width="8.42578125" style="199" customWidth="1"/>
    <col min="4614" max="4614" width="9.140625" style="199"/>
    <col min="4615" max="4615" width="11" style="199" bestFit="1" customWidth="1"/>
    <col min="4616" max="4616" width="15.28515625" style="199" customWidth="1"/>
    <col min="4617" max="4867" width="9.140625" style="199"/>
    <col min="4868" max="4868" width="77.5703125" style="199" customWidth="1"/>
    <col min="4869" max="4869" width="8.42578125" style="199" customWidth="1"/>
    <col min="4870" max="4870" width="9.140625" style="199"/>
    <col min="4871" max="4871" width="11" style="199" bestFit="1" customWidth="1"/>
    <col min="4872" max="4872" width="15.28515625" style="199" customWidth="1"/>
    <col min="4873" max="5123" width="9.140625" style="199"/>
    <col min="5124" max="5124" width="77.5703125" style="199" customWidth="1"/>
    <col min="5125" max="5125" width="8.42578125" style="199" customWidth="1"/>
    <col min="5126" max="5126" width="9.140625" style="199"/>
    <col min="5127" max="5127" width="11" style="199" bestFit="1" customWidth="1"/>
    <col min="5128" max="5128" width="15.28515625" style="199" customWidth="1"/>
    <col min="5129" max="5379" width="9.140625" style="199"/>
    <col min="5380" max="5380" width="77.5703125" style="199" customWidth="1"/>
    <col min="5381" max="5381" width="8.42578125" style="199" customWidth="1"/>
    <col min="5382" max="5382" width="9.140625" style="199"/>
    <col min="5383" max="5383" width="11" style="199" bestFit="1" customWidth="1"/>
    <col min="5384" max="5384" width="15.28515625" style="199" customWidth="1"/>
    <col min="5385" max="5635" width="9.140625" style="199"/>
    <col min="5636" max="5636" width="77.5703125" style="199" customWidth="1"/>
    <col min="5637" max="5637" width="8.42578125" style="199" customWidth="1"/>
    <col min="5638" max="5638" width="9.140625" style="199"/>
    <col min="5639" max="5639" width="11" style="199" bestFit="1" customWidth="1"/>
    <col min="5640" max="5640" width="15.28515625" style="199" customWidth="1"/>
    <col min="5641" max="5891" width="9.140625" style="199"/>
    <col min="5892" max="5892" width="77.5703125" style="199" customWidth="1"/>
    <col min="5893" max="5893" width="8.42578125" style="199" customWidth="1"/>
    <col min="5894" max="5894" width="9.140625" style="199"/>
    <col min="5895" max="5895" width="11" style="199" bestFit="1" customWidth="1"/>
    <col min="5896" max="5896" width="15.28515625" style="199" customWidth="1"/>
    <col min="5897" max="6147" width="9.140625" style="199"/>
    <col min="6148" max="6148" width="77.5703125" style="199" customWidth="1"/>
    <col min="6149" max="6149" width="8.42578125" style="199" customWidth="1"/>
    <col min="6150" max="6150" width="9.140625" style="199"/>
    <col min="6151" max="6151" width="11" style="199" bestFit="1" customWidth="1"/>
    <col min="6152" max="6152" width="15.28515625" style="199" customWidth="1"/>
    <col min="6153" max="6403" width="9.140625" style="199"/>
    <col min="6404" max="6404" width="77.5703125" style="199" customWidth="1"/>
    <col min="6405" max="6405" width="8.42578125" style="199" customWidth="1"/>
    <col min="6406" max="6406" width="9.140625" style="199"/>
    <col min="6407" max="6407" width="11" style="199" bestFit="1" customWidth="1"/>
    <col min="6408" max="6408" width="15.28515625" style="199" customWidth="1"/>
    <col min="6409" max="6659" width="9.140625" style="199"/>
    <col min="6660" max="6660" width="77.5703125" style="199" customWidth="1"/>
    <col min="6661" max="6661" width="8.42578125" style="199" customWidth="1"/>
    <col min="6662" max="6662" width="9.140625" style="199"/>
    <col min="6663" max="6663" width="11" style="199" bestFit="1" customWidth="1"/>
    <col min="6664" max="6664" width="15.28515625" style="199" customWidth="1"/>
    <col min="6665" max="6915" width="9.140625" style="199"/>
    <col min="6916" max="6916" width="77.5703125" style="199" customWidth="1"/>
    <col min="6917" max="6917" width="8.42578125" style="199" customWidth="1"/>
    <col min="6918" max="6918" width="9.140625" style="199"/>
    <col min="6919" max="6919" width="11" style="199" bestFit="1" customWidth="1"/>
    <col min="6920" max="6920" width="15.28515625" style="199" customWidth="1"/>
    <col min="6921" max="7171" width="9.140625" style="199"/>
    <col min="7172" max="7172" width="77.5703125" style="199" customWidth="1"/>
    <col min="7173" max="7173" width="8.42578125" style="199" customWidth="1"/>
    <col min="7174" max="7174" width="9.140625" style="199"/>
    <col min="7175" max="7175" width="11" style="199" bestFit="1" customWidth="1"/>
    <col min="7176" max="7176" width="15.28515625" style="199" customWidth="1"/>
    <col min="7177" max="7427" width="9.140625" style="199"/>
    <col min="7428" max="7428" width="77.5703125" style="199" customWidth="1"/>
    <col min="7429" max="7429" width="8.42578125" style="199" customWidth="1"/>
    <col min="7430" max="7430" width="9.140625" style="199"/>
    <col min="7431" max="7431" width="11" style="199" bestFit="1" customWidth="1"/>
    <col min="7432" max="7432" width="15.28515625" style="199" customWidth="1"/>
    <col min="7433" max="7683" width="9.140625" style="199"/>
    <col min="7684" max="7684" width="77.5703125" style="199" customWidth="1"/>
    <col min="7685" max="7685" width="8.42578125" style="199" customWidth="1"/>
    <col min="7686" max="7686" width="9.140625" style="199"/>
    <col min="7687" max="7687" width="11" style="199" bestFit="1" customWidth="1"/>
    <col min="7688" max="7688" width="15.28515625" style="199" customWidth="1"/>
    <col min="7689" max="7939" width="9.140625" style="199"/>
    <col min="7940" max="7940" width="77.5703125" style="199" customWidth="1"/>
    <col min="7941" max="7941" width="8.42578125" style="199" customWidth="1"/>
    <col min="7942" max="7942" width="9.140625" style="199"/>
    <col min="7943" max="7943" width="11" style="199" bestFit="1" customWidth="1"/>
    <col min="7944" max="7944" width="15.28515625" style="199" customWidth="1"/>
    <col min="7945" max="8195" width="9.140625" style="199"/>
    <col min="8196" max="8196" width="77.5703125" style="199" customWidth="1"/>
    <col min="8197" max="8197" width="8.42578125" style="199" customWidth="1"/>
    <col min="8198" max="8198" width="9.140625" style="199"/>
    <col min="8199" max="8199" width="11" style="199" bestFit="1" customWidth="1"/>
    <col min="8200" max="8200" width="15.28515625" style="199" customWidth="1"/>
    <col min="8201" max="8451" width="9.140625" style="199"/>
    <col min="8452" max="8452" width="77.5703125" style="199" customWidth="1"/>
    <col min="8453" max="8453" width="8.42578125" style="199" customWidth="1"/>
    <col min="8454" max="8454" width="9.140625" style="199"/>
    <col min="8455" max="8455" width="11" style="199" bestFit="1" customWidth="1"/>
    <col min="8456" max="8456" width="15.28515625" style="199" customWidth="1"/>
    <col min="8457" max="8707" width="9.140625" style="199"/>
    <col min="8708" max="8708" width="77.5703125" style="199" customWidth="1"/>
    <col min="8709" max="8709" width="8.42578125" style="199" customWidth="1"/>
    <col min="8710" max="8710" width="9.140625" style="199"/>
    <col min="8711" max="8711" width="11" style="199" bestFit="1" customWidth="1"/>
    <col min="8712" max="8712" width="15.28515625" style="199" customWidth="1"/>
    <col min="8713" max="8963" width="9.140625" style="199"/>
    <col min="8964" max="8964" width="77.5703125" style="199" customWidth="1"/>
    <col min="8965" max="8965" width="8.42578125" style="199" customWidth="1"/>
    <col min="8966" max="8966" width="9.140625" style="199"/>
    <col min="8967" max="8967" width="11" style="199" bestFit="1" customWidth="1"/>
    <col min="8968" max="8968" width="15.28515625" style="199" customWidth="1"/>
    <col min="8969" max="9219" width="9.140625" style="199"/>
    <col min="9220" max="9220" width="77.5703125" style="199" customWidth="1"/>
    <col min="9221" max="9221" width="8.42578125" style="199" customWidth="1"/>
    <col min="9222" max="9222" width="9.140625" style="199"/>
    <col min="9223" max="9223" width="11" style="199" bestFit="1" customWidth="1"/>
    <col min="9224" max="9224" width="15.28515625" style="199" customWidth="1"/>
    <col min="9225" max="9475" width="9.140625" style="199"/>
    <col min="9476" max="9476" width="77.5703125" style="199" customWidth="1"/>
    <col min="9477" max="9477" width="8.42578125" style="199" customWidth="1"/>
    <col min="9478" max="9478" width="9.140625" style="199"/>
    <col min="9479" max="9479" width="11" style="199" bestFit="1" customWidth="1"/>
    <col min="9480" max="9480" width="15.28515625" style="199" customWidth="1"/>
    <col min="9481" max="9731" width="9.140625" style="199"/>
    <col min="9732" max="9732" width="77.5703125" style="199" customWidth="1"/>
    <col min="9733" max="9733" width="8.42578125" style="199" customWidth="1"/>
    <col min="9734" max="9734" width="9.140625" style="199"/>
    <col min="9735" max="9735" width="11" style="199" bestFit="1" customWidth="1"/>
    <col min="9736" max="9736" width="15.28515625" style="199" customWidth="1"/>
    <col min="9737" max="9987" width="9.140625" style="199"/>
    <col min="9988" max="9988" width="77.5703125" style="199" customWidth="1"/>
    <col min="9989" max="9989" width="8.42578125" style="199" customWidth="1"/>
    <col min="9990" max="9990" width="9.140625" style="199"/>
    <col min="9991" max="9991" width="11" style="199" bestFit="1" customWidth="1"/>
    <col min="9992" max="9992" width="15.28515625" style="199" customWidth="1"/>
    <col min="9993" max="10243" width="9.140625" style="199"/>
    <col min="10244" max="10244" width="77.5703125" style="199" customWidth="1"/>
    <col min="10245" max="10245" width="8.42578125" style="199" customWidth="1"/>
    <col min="10246" max="10246" width="9.140625" style="199"/>
    <col min="10247" max="10247" width="11" style="199" bestFit="1" customWidth="1"/>
    <col min="10248" max="10248" width="15.28515625" style="199" customWidth="1"/>
    <col min="10249" max="10499" width="9.140625" style="199"/>
    <col min="10500" max="10500" width="77.5703125" style="199" customWidth="1"/>
    <col min="10501" max="10501" width="8.42578125" style="199" customWidth="1"/>
    <col min="10502" max="10502" width="9.140625" style="199"/>
    <col min="10503" max="10503" width="11" style="199" bestFit="1" customWidth="1"/>
    <col min="10504" max="10504" width="15.28515625" style="199" customWidth="1"/>
    <col min="10505" max="10755" width="9.140625" style="199"/>
    <col min="10756" max="10756" width="77.5703125" style="199" customWidth="1"/>
    <col min="10757" max="10757" width="8.42578125" style="199" customWidth="1"/>
    <col min="10758" max="10758" width="9.140625" style="199"/>
    <col min="10759" max="10759" width="11" style="199" bestFit="1" customWidth="1"/>
    <col min="10760" max="10760" width="15.28515625" style="199" customWidth="1"/>
    <col min="10761" max="11011" width="9.140625" style="199"/>
    <col min="11012" max="11012" width="77.5703125" style="199" customWidth="1"/>
    <col min="11013" max="11013" width="8.42578125" style="199" customWidth="1"/>
    <col min="11014" max="11014" width="9.140625" style="199"/>
    <col min="11015" max="11015" width="11" style="199" bestFit="1" customWidth="1"/>
    <col min="11016" max="11016" width="15.28515625" style="199" customWidth="1"/>
    <col min="11017" max="11267" width="9.140625" style="199"/>
    <col min="11268" max="11268" width="77.5703125" style="199" customWidth="1"/>
    <col min="11269" max="11269" width="8.42578125" style="199" customWidth="1"/>
    <col min="11270" max="11270" width="9.140625" style="199"/>
    <col min="11271" max="11271" width="11" style="199" bestFit="1" customWidth="1"/>
    <col min="11272" max="11272" width="15.28515625" style="199" customWidth="1"/>
    <col min="11273" max="11523" width="9.140625" style="199"/>
    <col min="11524" max="11524" width="77.5703125" style="199" customWidth="1"/>
    <col min="11525" max="11525" width="8.42578125" style="199" customWidth="1"/>
    <col min="11526" max="11526" width="9.140625" style="199"/>
    <col min="11527" max="11527" width="11" style="199" bestFit="1" customWidth="1"/>
    <col min="11528" max="11528" width="15.28515625" style="199" customWidth="1"/>
    <col min="11529" max="11779" width="9.140625" style="199"/>
    <col min="11780" max="11780" width="77.5703125" style="199" customWidth="1"/>
    <col min="11781" max="11781" width="8.42578125" style="199" customWidth="1"/>
    <col min="11782" max="11782" width="9.140625" style="199"/>
    <col min="11783" max="11783" width="11" style="199" bestFit="1" customWidth="1"/>
    <col min="11784" max="11784" width="15.28515625" style="199" customWidth="1"/>
    <col min="11785" max="12035" width="9.140625" style="199"/>
    <col min="12036" max="12036" width="77.5703125" style="199" customWidth="1"/>
    <col min="12037" max="12037" width="8.42578125" style="199" customWidth="1"/>
    <col min="12038" max="12038" width="9.140625" style="199"/>
    <col min="12039" max="12039" width="11" style="199" bestFit="1" customWidth="1"/>
    <col min="12040" max="12040" width="15.28515625" style="199" customWidth="1"/>
    <col min="12041" max="12291" width="9.140625" style="199"/>
    <col min="12292" max="12292" width="77.5703125" style="199" customWidth="1"/>
    <col min="12293" max="12293" width="8.42578125" style="199" customWidth="1"/>
    <col min="12294" max="12294" width="9.140625" style="199"/>
    <col min="12295" max="12295" width="11" style="199" bestFit="1" customWidth="1"/>
    <col min="12296" max="12296" width="15.28515625" style="199" customWidth="1"/>
    <col min="12297" max="12547" width="9.140625" style="199"/>
    <col min="12548" max="12548" width="77.5703125" style="199" customWidth="1"/>
    <col min="12549" max="12549" width="8.42578125" style="199" customWidth="1"/>
    <col min="12550" max="12550" width="9.140625" style="199"/>
    <col min="12551" max="12551" width="11" style="199" bestFit="1" customWidth="1"/>
    <col min="12552" max="12552" width="15.28515625" style="199" customWidth="1"/>
    <col min="12553" max="12803" width="9.140625" style="199"/>
    <col min="12804" max="12804" width="77.5703125" style="199" customWidth="1"/>
    <col min="12805" max="12805" width="8.42578125" style="199" customWidth="1"/>
    <col min="12806" max="12806" width="9.140625" style="199"/>
    <col min="12807" max="12807" width="11" style="199" bestFit="1" customWidth="1"/>
    <col min="12808" max="12808" width="15.28515625" style="199" customWidth="1"/>
    <col min="12809" max="13059" width="9.140625" style="199"/>
    <col min="13060" max="13060" width="77.5703125" style="199" customWidth="1"/>
    <col min="13061" max="13061" width="8.42578125" style="199" customWidth="1"/>
    <col min="13062" max="13062" width="9.140625" style="199"/>
    <col min="13063" max="13063" width="11" style="199" bestFit="1" customWidth="1"/>
    <col min="13064" max="13064" width="15.28515625" style="199" customWidth="1"/>
    <col min="13065" max="13315" width="9.140625" style="199"/>
    <col min="13316" max="13316" width="77.5703125" style="199" customWidth="1"/>
    <col min="13317" max="13317" width="8.42578125" style="199" customWidth="1"/>
    <col min="13318" max="13318" width="9.140625" style="199"/>
    <col min="13319" max="13319" width="11" style="199" bestFit="1" customWidth="1"/>
    <col min="13320" max="13320" width="15.28515625" style="199" customWidth="1"/>
    <col min="13321" max="13571" width="9.140625" style="199"/>
    <col min="13572" max="13572" width="77.5703125" style="199" customWidth="1"/>
    <col min="13573" max="13573" width="8.42578125" style="199" customWidth="1"/>
    <col min="13574" max="13574" width="9.140625" style="199"/>
    <col min="13575" max="13575" width="11" style="199" bestFit="1" customWidth="1"/>
    <col min="13576" max="13576" width="15.28515625" style="199" customWidth="1"/>
    <col min="13577" max="13827" width="9.140625" style="199"/>
    <col min="13828" max="13828" width="77.5703125" style="199" customWidth="1"/>
    <col min="13829" max="13829" width="8.42578125" style="199" customWidth="1"/>
    <col min="13830" max="13830" width="9.140625" style="199"/>
    <col min="13831" max="13831" width="11" style="199" bestFit="1" customWidth="1"/>
    <col min="13832" max="13832" width="15.28515625" style="199" customWidth="1"/>
    <col min="13833" max="14083" width="9.140625" style="199"/>
    <col min="14084" max="14084" width="77.5703125" style="199" customWidth="1"/>
    <col min="14085" max="14085" width="8.42578125" style="199" customWidth="1"/>
    <col min="14086" max="14086" width="9.140625" style="199"/>
    <col min="14087" max="14087" width="11" style="199" bestFit="1" customWidth="1"/>
    <col min="14088" max="14088" width="15.28515625" style="199" customWidth="1"/>
    <col min="14089" max="14339" width="9.140625" style="199"/>
    <col min="14340" max="14340" width="77.5703125" style="199" customWidth="1"/>
    <col min="14341" max="14341" width="8.42578125" style="199" customWidth="1"/>
    <col min="14342" max="14342" width="9.140625" style="199"/>
    <col min="14343" max="14343" width="11" style="199" bestFit="1" customWidth="1"/>
    <col min="14344" max="14344" width="15.28515625" style="199" customWidth="1"/>
    <col min="14345" max="14595" width="9.140625" style="199"/>
    <col min="14596" max="14596" width="77.5703125" style="199" customWidth="1"/>
    <col min="14597" max="14597" width="8.42578125" style="199" customWidth="1"/>
    <col min="14598" max="14598" width="9.140625" style="199"/>
    <col min="14599" max="14599" width="11" style="199" bestFit="1" customWidth="1"/>
    <col min="14600" max="14600" width="15.28515625" style="199" customWidth="1"/>
    <col min="14601" max="14851" width="9.140625" style="199"/>
    <col min="14852" max="14852" width="77.5703125" style="199" customWidth="1"/>
    <col min="14853" max="14853" width="8.42578125" style="199" customWidth="1"/>
    <col min="14854" max="14854" width="9.140625" style="199"/>
    <col min="14855" max="14855" width="11" style="199" bestFit="1" customWidth="1"/>
    <col min="14856" max="14856" width="15.28515625" style="199" customWidth="1"/>
    <col min="14857" max="15107" width="9.140625" style="199"/>
    <col min="15108" max="15108" width="77.5703125" style="199" customWidth="1"/>
    <col min="15109" max="15109" width="8.42578125" style="199" customWidth="1"/>
    <col min="15110" max="15110" width="9.140625" style="199"/>
    <col min="15111" max="15111" width="11" style="199" bestFit="1" customWidth="1"/>
    <col min="15112" max="15112" width="15.28515625" style="199" customWidth="1"/>
    <col min="15113" max="15363" width="9.140625" style="199"/>
    <col min="15364" max="15364" width="77.5703125" style="199" customWidth="1"/>
    <col min="15365" max="15365" width="8.42578125" style="199" customWidth="1"/>
    <col min="15366" max="15366" width="9.140625" style="199"/>
    <col min="15367" max="15367" width="11" style="199" bestFit="1" customWidth="1"/>
    <col min="15368" max="15368" width="15.28515625" style="199" customWidth="1"/>
    <col min="15369" max="15619" width="9.140625" style="199"/>
    <col min="15620" max="15620" width="77.5703125" style="199" customWidth="1"/>
    <col min="15621" max="15621" width="8.42578125" style="199" customWidth="1"/>
    <col min="15622" max="15622" width="9.140625" style="199"/>
    <col min="15623" max="15623" width="11" style="199" bestFit="1" customWidth="1"/>
    <col min="15624" max="15624" width="15.28515625" style="199" customWidth="1"/>
    <col min="15625" max="15875" width="9.140625" style="199"/>
    <col min="15876" max="15876" width="77.5703125" style="199" customWidth="1"/>
    <col min="15877" max="15877" width="8.42578125" style="199" customWidth="1"/>
    <col min="15878" max="15878" width="9.140625" style="199"/>
    <col min="15879" max="15879" width="11" style="199" bestFit="1" customWidth="1"/>
    <col min="15880" max="15880" width="15.28515625" style="199" customWidth="1"/>
    <col min="15881" max="16131" width="9.140625" style="199"/>
    <col min="16132" max="16132" width="77.5703125" style="199" customWidth="1"/>
    <col min="16133" max="16133" width="8.42578125" style="199" customWidth="1"/>
    <col min="16134" max="16134" width="9.140625" style="199"/>
    <col min="16135" max="16135" width="11" style="199" bestFit="1" customWidth="1"/>
    <col min="16136" max="16136" width="15.28515625" style="199" customWidth="1"/>
    <col min="16137" max="16384" width="9.140625" style="199"/>
  </cols>
  <sheetData>
    <row r="2" spans="1:10" ht="16.5" thickBot="1" x14ac:dyDescent="0.3">
      <c r="A2" s="346" t="s">
        <v>369</v>
      </c>
      <c r="B2" s="346"/>
      <c r="C2" s="346"/>
      <c r="D2" s="346"/>
      <c r="E2" s="346"/>
      <c r="F2" s="346"/>
      <c r="G2" s="281"/>
      <c r="H2" s="320"/>
      <c r="I2" s="330"/>
    </row>
    <row r="3" spans="1:10" ht="15.75" customHeight="1" x14ac:dyDescent="0.25">
      <c r="A3" s="349" t="s">
        <v>212</v>
      </c>
      <c r="B3" s="351" t="s">
        <v>67</v>
      </c>
      <c r="C3" s="353" t="s">
        <v>68</v>
      </c>
      <c r="D3" s="355" t="s">
        <v>69</v>
      </c>
      <c r="E3" s="355" t="s">
        <v>131</v>
      </c>
      <c r="F3" s="347" t="s">
        <v>389</v>
      </c>
      <c r="G3" s="357" t="s">
        <v>390</v>
      </c>
      <c r="H3" s="326"/>
      <c r="I3" s="326"/>
      <c r="J3" s="344" t="s">
        <v>367</v>
      </c>
    </row>
    <row r="4" spans="1:10" x14ac:dyDescent="0.25">
      <c r="A4" s="350"/>
      <c r="B4" s="352"/>
      <c r="C4" s="354"/>
      <c r="D4" s="356"/>
      <c r="E4" s="356"/>
      <c r="F4" s="348"/>
      <c r="G4" s="358"/>
      <c r="H4" s="327" t="s">
        <v>380</v>
      </c>
      <c r="I4" s="327" t="s">
        <v>383</v>
      </c>
      <c r="J4" s="345"/>
    </row>
    <row r="5" spans="1:10" x14ac:dyDescent="0.25">
      <c r="A5" s="221" t="s">
        <v>219</v>
      </c>
      <c r="B5" s="265"/>
      <c r="C5" s="266"/>
      <c r="D5" s="267"/>
      <c r="E5" s="222">
        <f>E6+E29</f>
        <v>19558068</v>
      </c>
      <c r="F5" s="222">
        <f>F6+F29</f>
        <v>19558068</v>
      </c>
      <c r="G5" s="222">
        <f>G6+G29</f>
        <v>19558068</v>
      </c>
      <c r="H5" s="222">
        <f>H6+H29</f>
        <v>19558068</v>
      </c>
      <c r="I5" s="222">
        <f>I6+I29</f>
        <v>19558068</v>
      </c>
      <c r="J5" s="204">
        <f>I5-H5</f>
        <v>0</v>
      </c>
    </row>
    <row r="6" spans="1:10" x14ac:dyDescent="0.25">
      <c r="A6" s="221" t="s">
        <v>2</v>
      </c>
      <c r="B6" s="265"/>
      <c r="C6" s="266"/>
      <c r="D6" s="267"/>
      <c r="E6" s="222">
        <f>E7+E10+E19+E21+E23+E24+E26+E27+E30</f>
        <v>18387668</v>
      </c>
      <c r="F6" s="222">
        <f>F7+F10+F19+F21+F23+F24+F26+F27+F30</f>
        <v>18387668</v>
      </c>
      <c r="G6" s="222">
        <f>G7+G10+G19+G21+G23+G24+G26+G27+G30</f>
        <v>18387668</v>
      </c>
      <c r="H6" s="222">
        <f>H7+H10+H19+H21+H23+H24+H26+H27+H30</f>
        <v>18387668</v>
      </c>
      <c r="I6" s="222">
        <f>I7+I10+I19+I21+I23+I24+I26+I27+I30</f>
        <v>18387668</v>
      </c>
      <c r="J6" s="204">
        <f t="shared" ref="J6:J46" si="0">I6-H6</f>
        <v>0</v>
      </c>
    </row>
    <row r="7" spans="1:10" x14ac:dyDescent="0.25">
      <c r="A7" s="221" t="s">
        <v>70</v>
      </c>
      <c r="B7" s="265"/>
      <c r="C7" s="223"/>
      <c r="D7" s="267"/>
      <c r="E7" s="224">
        <f>E8</f>
        <v>0</v>
      </c>
      <c r="F7" s="224">
        <f>F8</f>
        <v>0</v>
      </c>
      <c r="G7" s="224">
        <f>G8</f>
        <v>0</v>
      </c>
      <c r="H7" s="224">
        <f>H8</f>
        <v>0</v>
      </c>
      <c r="I7" s="224">
        <f>I8</f>
        <v>0</v>
      </c>
      <c r="J7" s="204">
        <f t="shared" si="0"/>
        <v>0</v>
      </c>
    </row>
    <row r="8" spans="1:10" x14ac:dyDescent="0.25">
      <c r="A8" s="225" t="s">
        <v>71</v>
      </c>
      <c r="B8" s="265"/>
      <c r="C8" s="226"/>
      <c r="D8" s="227"/>
      <c r="E8" s="228">
        <f>C8*D8</f>
        <v>0</v>
      </c>
      <c r="F8" s="228">
        <f>D8*E8</f>
        <v>0</v>
      </c>
      <c r="G8" s="228">
        <f>E8*F8</f>
        <v>0</v>
      </c>
      <c r="H8" s="228">
        <f>F8*G8</f>
        <v>0</v>
      </c>
      <c r="I8" s="228">
        <f>G8*H8</f>
        <v>0</v>
      </c>
      <c r="J8" s="204">
        <f t="shared" si="0"/>
        <v>0</v>
      </c>
    </row>
    <row r="9" spans="1:10" x14ac:dyDescent="0.25">
      <c r="A9" s="225" t="s">
        <v>73</v>
      </c>
      <c r="B9" s="265"/>
      <c r="C9" s="223"/>
      <c r="D9" s="267"/>
      <c r="E9" s="229">
        <v>0</v>
      </c>
      <c r="F9" s="92">
        <v>0</v>
      </c>
      <c r="G9" s="92">
        <v>0</v>
      </c>
      <c r="H9" s="92">
        <v>0</v>
      </c>
      <c r="I9" s="92">
        <v>0</v>
      </c>
      <c r="J9" s="204">
        <f t="shared" si="0"/>
        <v>0</v>
      </c>
    </row>
    <row r="10" spans="1:10" x14ac:dyDescent="0.25">
      <c r="A10" s="230" t="s">
        <v>236</v>
      </c>
      <c r="B10" s="265"/>
      <c r="C10" s="223"/>
      <c r="D10" s="267"/>
      <c r="E10" s="224">
        <f>E11+E12+E13+E14+E15+E16+E17+E18</f>
        <v>7493580</v>
      </c>
      <c r="F10" s="224">
        <f>F11+F12+F13+F14+F15+F16+F17+F18</f>
        <v>7493580</v>
      </c>
      <c r="G10" s="224">
        <f>G11+G12+G13+G14+G15+G16+G17+G18</f>
        <v>7493580</v>
      </c>
      <c r="H10" s="224">
        <f>H11+H12+H13+H14+H15+H16+H17+H18</f>
        <v>7493580</v>
      </c>
      <c r="I10" s="224">
        <f>I11+I12+I13+I14+I15+I16+I17+I18</f>
        <v>7493580</v>
      </c>
      <c r="J10" s="204">
        <f t="shared" si="0"/>
        <v>0</v>
      </c>
    </row>
    <row r="11" spans="1:10" x14ac:dyDescent="0.25">
      <c r="A11" s="268" t="s">
        <v>72</v>
      </c>
      <c r="B11" s="265"/>
      <c r="C11" s="223"/>
      <c r="D11" s="267">
        <v>22300</v>
      </c>
      <c r="E11" s="228">
        <v>985660</v>
      </c>
      <c r="F11" s="92">
        <v>985660</v>
      </c>
      <c r="G11" s="92">
        <v>985660</v>
      </c>
      <c r="H11" s="92">
        <v>985660</v>
      </c>
      <c r="I11" s="92">
        <v>985660</v>
      </c>
      <c r="J11" s="204">
        <f t="shared" si="0"/>
        <v>0</v>
      </c>
    </row>
    <row r="12" spans="1:10" x14ac:dyDescent="0.25">
      <c r="A12" s="268" t="s">
        <v>73</v>
      </c>
      <c r="B12" s="265"/>
      <c r="C12" s="223"/>
      <c r="D12" s="267"/>
      <c r="E12" s="229"/>
      <c r="F12" s="92"/>
      <c r="G12" s="298"/>
      <c r="H12" s="298"/>
      <c r="I12" s="298"/>
      <c r="J12" s="204">
        <f t="shared" si="0"/>
        <v>0</v>
      </c>
    </row>
    <row r="13" spans="1:10" x14ac:dyDescent="0.25">
      <c r="A13" s="268" t="s">
        <v>74</v>
      </c>
      <c r="B13" s="265"/>
      <c r="C13" s="266"/>
      <c r="D13" s="267"/>
      <c r="E13" s="228">
        <v>4928000</v>
      </c>
      <c r="F13" s="92">
        <v>4928000</v>
      </c>
      <c r="G13" s="92">
        <v>4928000</v>
      </c>
      <c r="H13" s="92">
        <v>4928000</v>
      </c>
      <c r="I13" s="92">
        <v>4928000</v>
      </c>
      <c r="J13" s="204">
        <f t="shared" si="0"/>
        <v>0</v>
      </c>
    </row>
    <row r="14" spans="1:10" x14ac:dyDescent="0.25">
      <c r="A14" s="268" t="s">
        <v>73</v>
      </c>
      <c r="B14" s="265"/>
      <c r="C14" s="266"/>
      <c r="D14" s="267"/>
      <c r="E14" s="229"/>
      <c r="F14" s="92"/>
      <c r="G14" s="92"/>
      <c r="H14" s="298"/>
      <c r="I14" s="298"/>
      <c r="J14" s="204">
        <f t="shared" si="0"/>
        <v>0</v>
      </c>
    </row>
    <row r="15" spans="1:10" x14ac:dyDescent="0.25">
      <c r="A15" s="268" t="s">
        <v>75</v>
      </c>
      <c r="B15" s="265"/>
      <c r="C15" s="266"/>
      <c r="D15" s="267"/>
      <c r="E15" s="228">
        <v>0</v>
      </c>
      <c r="F15" s="92">
        <v>0</v>
      </c>
      <c r="G15" s="92">
        <v>0</v>
      </c>
      <c r="H15" s="92">
        <v>0</v>
      </c>
      <c r="I15" s="298"/>
      <c r="J15" s="204">
        <f t="shared" si="0"/>
        <v>0</v>
      </c>
    </row>
    <row r="16" spans="1:10" x14ac:dyDescent="0.25">
      <c r="A16" s="268" t="s">
        <v>73</v>
      </c>
      <c r="B16" s="265"/>
      <c r="C16" s="266"/>
      <c r="D16" s="267"/>
      <c r="E16" s="229"/>
      <c r="F16" s="92"/>
      <c r="G16" s="92"/>
      <c r="H16" s="298"/>
      <c r="I16" s="298"/>
      <c r="J16" s="204">
        <f t="shared" si="0"/>
        <v>0</v>
      </c>
    </row>
    <row r="17" spans="1:10" x14ac:dyDescent="0.25">
      <c r="A17" s="268" t="s">
        <v>76</v>
      </c>
      <c r="B17" s="265"/>
      <c r="C17" s="266"/>
      <c r="D17" s="267"/>
      <c r="E17" s="228">
        <v>1579920</v>
      </c>
      <c r="F17" s="92">
        <v>1579920</v>
      </c>
      <c r="G17" s="92">
        <v>1579920</v>
      </c>
      <c r="H17" s="92">
        <v>1579920</v>
      </c>
      <c r="I17" s="92">
        <v>1579920</v>
      </c>
      <c r="J17" s="204">
        <f t="shared" si="0"/>
        <v>0</v>
      </c>
    </row>
    <row r="18" spans="1:10" x14ac:dyDescent="0.25">
      <c r="A18" s="268" t="s">
        <v>73</v>
      </c>
      <c r="B18" s="265"/>
      <c r="C18" s="266"/>
      <c r="D18" s="267"/>
      <c r="E18" s="229"/>
      <c r="F18" s="92"/>
      <c r="G18" s="92"/>
      <c r="H18" s="298"/>
      <c r="I18" s="298"/>
      <c r="J18" s="204">
        <f t="shared" si="0"/>
        <v>0</v>
      </c>
    </row>
    <row r="19" spans="1:10" x14ac:dyDescent="0.25">
      <c r="A19" s="221" t="s">
        <v>237</v>
      </c>
      <c r="B19" s="265"/>
      <c r="C19" s="266"/>
      <c r="D19" s="267"/>
      <c r="E19" s="222">
        <f>E20+E21</f>
        <v>5000000</v>
      </c>
      <c r="F19" s="222">
        <f>F20+F21</f>
        <v>5000000</v>
      </c>
      <c r="G19" s="222">
        <f>G20+G21</f>
        <v>5000000</v>
      </c>
      <c r="H19" s="222">
        <f>H20+H21</f>
        <v>5000000</v>
      </c>
      <c r="I19" s="222">
        <f>I20+I21</f>
        <v>5000000</v>
      </c>
      <c r="J19" s="204">
        <f t="shared" si="0"/>
        <v>0</v>
      </c>
    </row>
    <row r="20" spans="1:10" x14ac:dyDescent="0.25">
      <c r="A20" s="225" t="s">
        <v>215</v>
      </c>
      <c r="B20" s="231"/>
      <c r="C20" s="231"/>
      <c r="D20" s="227">
        <v>2700</v>
      </c>
      <c r="E20" s="228">
        <v>5000000</v>
      </c>
      <c r="F20" s="92">
        <v>5000000</v>
      </c>
      <c r="G20" s="92">
        <v>5000000</v>
      </c>
      <c r="H20" s="92">
        <v>5000000</v>
      </c>
      <c r="I20" s="92">
        <v>5000000</v>
      </c>
      <c r="J20" s="204">
        <f t="shared" si="0"/>
        <v>0</v>
      </c>
    </row>
    <row r="21" spans="1:10" x14ac:dyDescent="0.25">
      <c r="A21" s="268" t="s">
        <v>73</v>
      </c>
      <c r="B21" s="265"/>
      <c r="C21" s="232"/>
      <c r="D21" s="227"/>
      <c r="E21" s="228"/>
      <c r="F21" s="92"/>
      <c r="G21" s="92"/>
      <c r="H21" s="298"/>
      <c r="I21" s="298"/>
      <c r="J21" s="204">
        <f t="shared" si="0"/>
        <v>0</v>
      </c>
    </row>
    <row r="22" spans="1:10" x14ac:dyDescent="0.25">
      <c r="A22" s="221" t="s">
        <v>238</v>
      </c>
      <c r="B22" s="265"/>
      <c r="C22" s="232"/>
      <c r="D22" s="227"/>
      <c r="E22" s="224">
        <f>E23+E24</f>
        <v>112200</v>
      </c>
      <c r="F22" s="224">
        <f>F23+F24</f>
        <v>112200</v>
      </c>
      <c r="G22" s="224">
        <f>G23+G24</f>
        <v>112200</v>
      </c>
      <c r="H22" s="224">
        <f>H23+H24</f>
        <v>112200</v>
      </c>
      <c r="I22" s="224">
        <f>I23+I24</f>
        <v>112200</v>
      </c>
      <c r="J22" s="204">
        <f t="shared" si="0"/>
        <v>0</v>
      </c>
    </row>
    <row r="23" spans="1:10" x14ac:dyDescent="0.25">
      <c r="A23" s="225" t="s">
        <v>82</v>
      </c>
      <c r="B23" s="265"/>
      <c r="C23" s="232"/>
      <c r="D23" s="233">
        <v>2550</v>
      </c>
      <c r="E23" s="234">
        <v>112200</v>
      </c>
      <c r="F23" s="92">
        <v>112200</v>
      </c>
      <c r="G23" s="92">
        <v>112200</v>
      </c>
      <c r="H23" s="92">
        <v>112200</v>
      </c>
      <c r="I23" s="92">
        <v>112200</v>
      </c>
      <c r="J23" s="204">
        <f t="shared" si="0"/>
        <v>0</v>
      </c>
    </row>
    <row r="24" spans="1:10" x14ac:dyDescent="0.25">
      <c r="A24" s="268" t="s">
        <v>73</v>
      </c>
      <c r="B24" s="265"/>
      <c r="C24" s="266"/>
      <c r="D24" s="235"/>
      <c r="E24" s="232"/>
      <c r="F24" s="92"/>
      <c r="G24" s="92"/>
      <c r="H24" s="298"/>
      <c r="I24" s="298"/>
      <c r="J24" s="204">
        <f t="shared" si="0"/>
        <v>0</v>
      </c>
    </row>
    <row r="25" spans="1:10" x14ac:dyDescent="0.25">
      <c r="A25" s="236" t="s">
        <v>239</v>
      </c>
      <c r="B25" s="265"/>
      <c r="C25" s="232"/>
      <c r="D25" s="227"/>
      <c r="E25" s="237">
        <f>E26</f>
        <v>75370</v>
      </c>
      <c r="F25" s="237">
        <f>F26</f>
        <v>75370</v>
      </c>
      <c r="G25" s="299"/>
      <c r="H25" s="299"/>
      <c r="I25" s="299"/>
      <c r="J25" s="204">
        <f t="shared" si="0"/>
        <v>0</v>
      </c>
    </row>
    <row r="26" spans="1:10" x14ac:dyDescent="0.25">
      <c r="A26" s="238" t="s">
        <v>240</v>
      </c>
      <c r="B26" s="265"/>
      <c r="C26" s="232"/>
      <c r="D26" s="227"/>
      <c r="E26" s="92">
        <v>75370</v>
      </c>
      <c r="F26" s="92">
        <v>75370</v>
      </c>
      <c r="G26" s="92">
        <v>75370</v>
      </c>
      <c r="H26" s="92">
        <v>75370</v>
      </c>
      <c r="I26" s="92">
        <v>75370</v>
      </c>
      <c r="J26" s="204">
        <f t="shared" si="0"/>
        <v>0</v>
      </c>
    </row>
    <row r="27" spans="1:10" x14ac:dyDescent="0.25">
      <c r="A27" s="268" t="s">
        <v>73</v>
      </c>
      <c r="B27" s="265"/>
      <c r="C27" s="232"/>
      <c r="D27" s="227"/>
      <c r="E27" s="228"/>
      <c r="F27" s="92"/>
      <c r="G27" s="92"/>
      <c r="H27" s="298"/>
      <c r="I27" s="298"/>
      <c r="J27" s="204">
        <f t="shared" si="0"/>
        <v>0</v>
      </c>
    </row>
    <row r="28" spans="1:10" x14ac:dyDescent="0.25">
      <c r="A28" s="230" t="s">
        <v>292</v>
      </c>
      <c r="B28" s="265"/>
      <c r="C28" s="266"/>
      <c r="D28" s="267"/>
      <c r="E28" s="224"/>
      <c r="F28" s="92"/>
      <c r="G28" s="92"/>
      <c r="H28" s="298"/>
      <c r="I28" s="298"/>
      <c r="J28" s="204">
        <f t="shared" si="0"/>
        <v>0</v>
      </c>
    </row>
    <row r="29" spans="1:10" s="264" customFormat="1" x14ac:dyDescent="0.25">
      <c r="A29" s="268" t="s">
        <v>353</v>
      </c>
      <c r="B29" s="265"/>
      <c r="C29" s="266"/>
      <c r="D29" s="267"/>
      <c r="E29" s="228">
        <v>1170400</v>
      </c>
      <c r="F29" s="228">
        <v>1170400</v>
      </c>
      <c r="G29" s="228">
        <v>1170400</v>
      </c>
      <c r="H29" s="228">
        <v>1170400</v>
      </c>
      <c r="I29" s="228">
        <v>1170400</v>
      </c>
      <c r="J29" s="204">
        <f t="shared" si="0"/>
        <v>0</v>
      </c>
    </row>
    <row r="30" spans="1:10" x14ac:dyDescent="0.25">
      <c r="A30" s="268" t="s">
        <v>354</v>
      </c>
      <c r="B30" s="265"/>
      <c r="C30" s="232"/>
      <c r="D30" s="227"/>
      <c r="E30" s="228">
        <v>5706518</v>
      </c>
      <c r="F30" s="228">
        <v>5706518</v>
      </c>
      <c r="G30" s="228">
        <v>5706518</v>
      </c>
      <c r="H30" s="228">
        <v>5706518</v>
      </c>
      <c r="I30" s="228">
        <v>5706518</v>
      </c>
      <c r="J30" s="204">
        <f t="shared" si="0"/>
        <v>0</v>
      </c>
    </row>
    <row r="31" spans="1:10" x14ac:dyDescent="0.25">
      <c r="A31" s="221" t="s">
        <v>241</v>
      </c>
      <c r="B31" s="265"/>
      <c r="C31" s="232"/>
      <c r="D31" s="227"/>
      <c r="E31" s="267"/>
      <c r="F31" s="92"/>
      <c r="G31" s="92"/>
      <c r="H31" s="298"/>
      <c r="I31" s="298"/>
      <c r="J31" s="204">
        <f t="shared" si="0"/>
        <v>0</v>
      </c>
    </row>
    <row r="32" spans="1:10" x14ac:dyDescent="0.25">
      <c r="A32" s="238"/>
      <c r="B32" s="231"/>
      <c r="C32" s="231"/>
      <c r="D32" s="227"/>
      <c r="E32" s="234"/>
      <c r="F32" s="92"/>
      <c r="G32" s="92"/>
      <c r="H32" s="298"/>
      <c r="I32" s="298"/>
      <c r="J32" s="204">
        <f t="shared" si="0"/>
        <v>0</v>
      </c>
    </row>
    <row r="33" spans="1:10" x14ac:dyDescent="0.25">
      <c r="A33" s="221" t="s">
        <v>220</v>
      </c>
      <c r="B33" s="265"/>
      <c r="C33" s="232"/>
      <c r="D33" s="227"/>
      <c r="E33" s="267">
        <f>E34+E37+E39+E41</f>
        <v>6895000</v>
      </c>
      <c r="F33" s="267">
        <f>F34+F37+F39+F41</f>
        <v>6982480</v>
      </c>
      <c r="G33" s="267">
        <f>G34+G37+G39+G41</f>
        <v>6982480</v>
      </c>
      <c r="H33" s="267">
        <f>H34+H37+H39+H41</f>
        <v>6982480</v>
      </c>
      <c r="I33" s="267">
        <f>I34+I37+I39+I41</f>
        <v>6982631</v>
      </c>
      <c r="J33" s="340">
        <f t="shared" si="0"/>
        <v>151</v>
      </c>
    </row>
    <row r="34" spans="1:10" x14ac:dyDescent="0.25">
      <c r="A34" s="221" t="s">
        <v>77</v>
      </c>
      <c r="B34" s="265"/>
      <c r="C34" s="232"/>
      <c r="D34" s="227"/>
      <c r="E34" s="267">
        <f>SUM(E35:E36)</f>
        <v>3795000</v>
      </c>
      <c r="F34" s="267">
        <f>SUM(F35:F36)</f>
        <v>3795000</v>
      </c>
      <c r="G34" s="267">
        <f>SUM(G35:G36)</f>
        <v>3795000</v>
      </c>
      <c r="H34" s="267">
        <f>SUM(H35:H36)</f>
        <v>3795000</v>
      </c>
      <c r="I34" s="267">
        <f>SUM(I35:I36)</f>
        <v>3795151</v>
      </c>
      <c r="J34" s="340">
        <f t="shared" si="0"/>
        <v>151</v>
      </c>
    </row>
    <row r="35" spans="1:10" x14ac:dyDescent="0.25">
      <c r="A35" s="225" t="s">
        <v>217</v>
      </c>
      <c r="B35" s="265"/>
      <c r="C35" s="232"/>
      <c r="D35" s="227"/>
      <c r="E35" s="227"/>
      <c r="F35" s="92"/>
      <c r="G35" s="298"/>
      <c r="H35" s="298"/>
      <c r="I35" s="298"/>
      <c r="J35" s="204">
        <f t="shared" si="0"/>
        <v>0</v>
      </c>
    </row>
    <row r="36" spans="1:10" x14ac:dyDescent="0.25">
      <c r="A36" s="225" t="s">
        <v>216</v>
      </c>
      <c r="B36" s="265"/>
      <c r="C36" s="232"/>
      <c r="D36" s="227"/>
      <c r="E36" s="227">
        <v>3795000</v>
      </c>
      <c r="F36" s="227">
        <v>3795000</v>
      </c>
      <c r="G36" s="227">
        <v>3795000</v>
      </c>
      <c r="H36" s="227">
        <v>3795000</v>
      </c>
      <c r="I36" s="227">
        <f>3795000+151</f>
        <v>3795151</v>
      </c>
      <c r="J36" s="204">
        <f t="shared" si="0"/>
        <v>151</v>
      </c>
    </row>
    <row r="37" spans="1:10" x14ac:dyDescent="0.25">
      <c r="A37" s="221" t="s">
        <v>78</v>
      </c>
      <c r="B37" s="231"/>
      <c r="C37" s="232"/>
      <c r="D37" s="227"/>
      <c r="E37" s="267">
        <f>E38</f>
        <v>3100000</v>
      </c>
      <c r="F37" s="267">
        <f>F38</f>
        <v>3100000</v>
      </c>
      <c r="G37" s="267">
        <f>G38</f>
        <v>3100000</v>
      </c>
      <c r="H37" s="267">
        <f>H38</f>
        <v>3100000</v>
      </c>
      <c r="I37" s="267">
        <f>I38</f>
        <v>3100000</v>
      </c>
      <c r="J37" s="204">
        <f t="shared" si="0"/>
        <v>0</v>
      </c>
    </row>
    <row r="38" spans="1:10" x14ac:dyDescent="0.25">
      <c r="A38" s="239" t="s">
        <v>288</v>
      </c>
      <c r="B38" s="231"/>
      <c r="C38" s="232"/>
      <c r="D38" s="227"/>
      <c r="E38" s="227">
        <v>3100000</v>
      </c>
      <c r="F38" s="92">
        <v>3100000</v>
      </c>
      <c r="G38" s="92">
        <v>3100000</v>
      </c>
      <c r="H38" s="92">
        <v>3100000</v>
      </c>
      <c r="I38" s="92">
        <v>3100000</v>
      </c>
      <c r="J38" s="204">
        <f t="shared" si="0"/>
        <v>0</v>
      </c>
    </row>
    <row r="39" spans="1:10" x14ac:dyDescent="0.25">
      <c r="A39" s="221" t="s">
        <v>79</v>
      </c>
      <c r="B39" s="265"/>
      <c r="C39" s="240"/>
      <c r="D39" s="267"/>
      <c r="E39" s="267"/>
      <c r="F39" s="92"/>
      <c r="G39" s="92"/>
      <c r="H39" s="298"/>
      <c r="I39" s="298"/>
      <c r="J39" s="204">
        <f t="shared" si="0"/>
        <v>0</v>
      </c>
    </row>
    <row r="40" spans="1:10" x14ac:dyDescent="0.25">
      <c r="A40" s="221"/>
      <c r="B40" s="265"/>
      <c r="C40" s="240"/>
      <c r="D40" s="267"/>
      <c r="E40" s="267"/>
      <c r="F40" s="92"/>
      <c r="G40" s="92"/>
      <c r="H40" s="298"/>
      <c r="I40" s="298"/>
      <c r="J40" s="204">
        <f t="shared" si="0"/>
        <v>0</v>
      </c>
    </row>
    <row r="41" spans="1:10" s="241" customFormat="1" x14ac:dyDescent="0.25">
      <c r="A41" s="221" t="s">
        <v>355</v>
      </c>
      <c r="B41" s="265"/>
      <c r="C41" s="240"/>
      <c r="D41" s="266"/>
      <c r="E41" s="266"/>
      <c r="F41" s="276">
        <f>12*7290</f>
        <v>87480</v>
      </c>
      <c r="G41" s="276">
        <f>12*7290</f>
        <v>87480</v>
      </c>
      <c r="H41" s="276">
        <f>12*7290</f>
        <v>87480</v>
      </c>
      <c r="I41" s="276">
        <f>12*7290</f>
        <v>87480</v>
      </c>
      <c r="J41" s="204">
        <f t="shared" si="0"/>
        <v>0</v>
      </c>
    </row>
    <row r="42" spans="1:10" x14ac:dyDescent="0.25">
      <c r="A42" s="225"/>
      <c r="B42" s="231"/>
      <c r="C42" s="231"/>
      <c r="D42" s="227"/>
      <c r="E42" s="242"/>
      <c r="F42" s="92"/>
      <c r="G42" s="92"/>
      <c r="H42" s="298"/>
      <c r="I42" s="298"/>
      <c r="J42" s="204">
        <f t="shared" si="0"/>
        <v>0</v>
      </c>
    </row>
    <row r="43" spans="1:10" x14ac:dyDescent="0.25">
      <c r="A43" s="243" t="s">
        <v>80</v>
      </c>
      <c r="B43" s="244"/>
      <c r="C43" s="244"/>
      <c r="D43" s="244"/>
      <c r="E43" s="237">
        <f>E44</f>
        <v>1800000</v>
      </c>
      <c r="F43" s="237">
        <f>F44</f>
        <v>1800000</v>
      </c>
      <c r="G43" s="237">
        <f>G44</f>
        <v>1800000</v>
      </c>
      <c r="H43" s="237">
        <f>H44</f>
        <v>1800000</v>
      </c>
      <c r="I43" s="237">
        <f>I44</f>
        <v>1800000</v>
      </c>
      <c r="J43" s="204">
        <f t="shared" si="0"/>
        <v>0</v>
      </c>
    </row>
    <row r="44" spans="1:10" x14ac:dyDescent="0.25">
      <c r="A44" s="245" t="s">
        <v>81</v>
      </c>
      <c r="B44" s="232"/>
      <c r="C44" s="232"/>
      <c r="D44" s="227"/>
      <c r="E44" s="234">
        <v>1800000</v>
      </c>
      <c r="F44" s="92">
        <v>1800000</v>
      </c>
      <c r="G44" s="92">
        <v>1800000</v>
      </c>
      <c r="H44" s="92">
        <v>1800000</v>
      </c>
      <c r="I44" s="92">
        <v>1800000</v>
      </c>
      <c r="J44" s="204">
        <f>I44-H44</f>
        <v>0</v>
      </c>
    </row>
    <row r="45" spans="1:10" x14ac:dyDescent="0.25">
      <c r="A45" s="245"/>
      <c r="B45" s="232"/>
      <c r="C45" s="232"/>
      <c r="D45" s="227"/>
      <c r="E45" s="234"/>
      <c r="F45" s="92"/>
      <c r="G45" s="298"/>
      <c r="H45" s="298"/>
      <c r="I45" s="298"/>
      <c r="J45" s="204">
        <f t="shared" si="0"/>
        <v>0</v>
      </c>
    </row>
    <row r="46" spans="1:10" ht="16.5" thickBot="1" x14ac:dyDescent="0.3">
      <c r="A46" s="246" t="s">
        <v>83</v>
      </c>
      <c r="B46" s="247"/>
      <c r="C46" s="247"/>
      <c r="D46" s="247"/>
      <c r="E46" s="248">
        <f>E43+E33+E31+E5</f>
        <v>28253068</v>
      </c>
      <c r="F46" s="248">
        <f>F43+F33+F31+F5</f>
        <v>28340548</v>
      </c>
      <c r="G46" s="248">
        <f>G43+G33+G31+G5</f>
        <v>28340548</v>
      </c>
      <c r="H46" s="248">
        <f>H43+H33+H31+H5</f>
        <v>28340548</v>
      </c>
      <c r="I46" s="248">
        <f>I43+I33+I31+I5</f>
        <v>28340699</v>
      </c>
      <c r="J46" s="340">
        <f t="shared" si="0"/>
        <v>151</v>
      </c>
    </row>
    <row r="49" spans="5:5" x14ac:dyDescent="0.25">
      <c r="E49" s="205"/>
    </row>
  </sheetData>
  <mergeCells count="9">
    <mergeCell ref="J3:J4"/>
    <mergeCell ref="A2:F2"/>
    <mergeCell ref="F3:F4"/>
    <mergeCell ref="A3:A4"/>
    <mergeCell ref="B3:B4"/>
    <mergeCell ref="C3:C4"/>
    <mergeCell ref="D3:D4"/>
    <mergeCell ref="E3:E4"/>
    <mergeCell ref="G3:G4"/>
  </mergeCells>
  <printOptions horizontalCentered="1"/>
  <pageMargins left="0.11811023622047245" right="0.11811023622047245" top="0.4" bottom="0" header="0.11811023622047245" footer="0.31496062992125984"/>
  <pageSetup paperSize="9" scale="80" orientation="landscape" r:id="rId1"/>
  <headerFooter>
    <oddHeader>&amp;C&amp;"Times New Roman,Normál"&amp;12 2/a. melléklet
Az önkormányzat 2018. évi költségvetéséről szóló 3/2019. (III. 14.)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3:K38"/>
  <sheetViews>
    <sheetView view="pageLayout" zoomScaleNormal="75" zoomScaleSheetLayoutView="80" workbookViewId="0">
      <selection activeCell="K5" sqref="K5"/>
    </sheetView>
  </sheetViews>
  <sheetFormatPr defaultColWidth="9" defaultRowHeight="15.75" x14ac:dyDescent="0.25"/>
  <cols>
    <col min="1" max="1" width="21.42578125" style="181" customWidth="1"/>
    <col min="2" max="2" width="11.5703125" style="181" customWidth="1"/>
    <col min="3" max="3" width="12.42578125" style="181" customWidth="1"/>
    <col min="4" max="4" width="12.5703125" style="181" customWidth="1"/>
    <col min="5" max="5" width="12.7109375" style="181" customWidth="1"/>
    <col min="6" max="6" width="13.42578125" style="181" customWidth="1"/>
    <col min="7" max="7" width="13.85546875" style="181" customWidth="1"/>
    <col min="8" max="8" width="12.7109375" style="181" bestFit="1" customWidth="1"/>
    <col min="9" max="16384" width="9" style="181"/>
  </cols>
  <sheetData>
    <row r="3" spans="1:7" ht="31.7" customHeight="1" thickBot="1" x14ac:dyDescent="0.3">
      <c r="A3" s="359" t="s">
        <v>360</v>
      </c>
      <c r="B3" s="359"/>
      <c r="C3" s="359"/>
      <c r="D3" s="359"/>
      <c r="E3" s="359"/>
      <c r="F3" s="359"/>
      <c r="G3" s="359"/>
    </row>
    <row r="4" spans="1:7" ht="51.75" customHeight="1" x14ac:dyDescent="0.25">
      <c r="A4" s="87" t="s">
        <v>212</v>
      </c>
      <c r="B4" s="37" t="s">
        <v>384</v>
      </c>
      <c r="C4" s="37" t="s">
        <v>385</v>
      </c>
      <c r="D4" s="37" t="s">
        <v>391</v>
      </c>
      <c r="E4" s="37" t="s">
        <v>392</v>
      </c>
      <c r="F4" s="37" t="s">
        <v>393</v>
      </c>
      <c r="G4" s="52" t="s">
        <v>367</v>
      </c>
    </row>
    <row r="5" spans="1:7" ht="38.25" customHeight="1" x14ac:dyDescent="0.25">
      <c r="A5" s="88" t="s">
        <v>253</v>
      </c>
      <c r="B5" s="84"/>
      <c r="C5" s="89"/>
      <c r="D5" s="296"/>
      <c r="E5" s="296"/>
      <c r="F5" s="296"/>
      <c r="G5" s="90"/>
    </row>
    <row r="6" spans="1:7" s="182" customFormat="1" ht="21.75" customHeight="1" x14ac:dyDescent="0.25">
      <c r="A6" s="91" t="s">
        <v>86</v>
      </c>
      <c r="B6" s="274">
        <f>8933820+1935080+149009+149009+185000</f>
        <v>11351918</v>
      </c>
      <c r="C6" s="129">
        <v>12486198</v>
      </c>
      <c r="D6" s="129">
        <f>12486198+262491</f>
        <v>12748689</v>
      </c>
      <c r="E6" s="129">
        <f>12748689+100161+741611</f>
        <v>13590461</v>
      </c>
      <c r="F6" s="129">
        <f>12748689+100161+741611</f>
        <v>13590461</v>
      </c>
      <c r="G6" s="131"/>
    </row>
    <row r="7" spans="1:7" s="182" customFormat="1" ht="18.95" customHeight="1" x14ac:dyDescent="0.25">
      <c r="A7" s="91" t="s">
        <v>87</v>
      </c>
      <c r="B7" s="274">
        <v>2307565</v>
      </c>
      <c r="C7" s="178">
        <v>2217871</v>
      </c>
      <c r="D7" s="178">
        <f>2217871+214176</f>
        <v>2432047</v>
      </c>
      <c r="E7" s="178">
        <f>2432047+17579+111688</f>
        <v>2561314</v>
      </c>
      <c r="F7" s="178">
        <f>2432047+17579+111688</f>
        <v>2561314</v>
      </c>
      <c r="G7" s="131"/>
    </row>
    <row r="8" spans="1:7" s="182" customFormat="1" ht="18.95" customHeight="1" x14ac:dyDescent="0.25">
      <c r="A8" s="91" t="s">
        <v>88</v>
      </c>
      <c r="B8" s="85">
        <f>SUM(B9:B23)</f>
        <v>17032982</v>
      </c>
      <c r="C8" s="85">
        <f>SUM(C9:C23)</f>
        <v>17214872</v>
      </c>
      <c r="D8" s="274">
        <f>SUM(D9:D25)</f>
        <v>29585170</v>
      </c>
      <c r="E8" s="274">
        <f>SUM(E9:E25)</f>
        <v>30647470</v>
      </c>
      <c r="F8" s="274">
        <f>SUM(F9:F25)</f>
        <v>30647470</v>
      </c>
      <c r="G8" s="131">
        <f t="shared" ref="G8:G38" si="0">F8-E8</f>
        <v>0</v>
      </c>
    </row>
    <row r="9" spans="1:7" ht="19.7" customHeight="1" x14ac:dyDescent="0.25">
      <c r="A9" s="93" t="s">
        <v>268</v>
      </c>
      <c r="B9" s="68">
        <v>35000</v>
      </c>
      <c r="C9" s="273">
        <v>35000</v>
      </c>
      <c r="D9" s="273">
        <v>35000</v>
      </c>
      <c r="E9" s="273">
        <v>35000</v>
      </c>
      <c r="F9" s="273">
        <v>35000</v>
      </c>
      <c r="G9" s="131">
        <f t="shared" si="0"/>
        <v>0</v>
      </c>
    </row>
    <row r="10" spans="1:7" ht="19.7" customHeight="1" x14ac:dyDescent="0.25">
      <c r="A10" s="93" t="s">
        <v>269</v>
      </c>
      <c r="B10" s="68">
        <v>1960000</v>
      </c>
      <c r="C10" s="273">
        <v>1960000</v>
      </c>
      <c r="D10" s="273">
        <f>1960000+300000</f>
        <v>2260000</v>
      </c>
      <c r="E10" s="273">
        <f>2260000+110236</f>
        <v>2370236</v>
      </c>
      <c r="F10" s="273">
        <f>2260000+110236</f>
        <v>2370236</v>
      </c>
      <c r="G10" s="131">
        <f t="shared" si="0"/>
        <v>0</v>
      </c>
    </row>
    <row r="11" spans="1:7" ht="21.75" customHeight="1" x14ac:dyDescent="0.25">
      <c r="A11" s="94" t="s">
        <v>243</v>
      </c>
      <c r="B11" s="68">
        <v>501000</v>
      </c>
      <c r="C11" s="273">
        <v>501000</v>
      </c>
      <c r="D11" s="273">
        <f>501000+5000+150000</f>
        <v>656000</v>
      </c>
      <c r="E11" s="273">
        <f>501000+5000+150000</f>
        <v>656000</v>
      </c>
      <c r="F11" s="273">
        <f>501000+5000+150000</f>
        <v>656000</v>
      </c>
      <c r="G11" s="131">
        <f t="shared" si="0"/>
        <v>0</v>
      </c>
    </row>
    <row r="12" spans="1:7" ht="19.7" customHeight="1" x14ac:dyDescent="0.25">
      <c r="A12" s="94" t="s">
        <v>244</v>
      </c>
      <c r="B12" s="68">
        <v>705000</v>
      </c>
      <c r="C12" s="273">
        <v>705000</v>
      </c>
      <c r="D12" s="273">
        <v>705000</v>
      </c>
      <c r="E12" s="273">
        <v>705000</v>
      </c>
      <c r="F12" s="273">
        <v>705000</v>
      </c>
      <c r="G12" s="131">
        <f t="shared" si="0"/>
        <v>0</v>
      </c>
    </row>
    <row r="13" spans="1:7" ht="19.7" customHeight="1" x14ac:dyDescent="0.25">
      <c r="A13" s="94" t="s">
        <v>245</v>
      </c>
      <c r="B13" s="68">
        <v>2105000</v>
      </c>
      <c r="C13" s="273">
        <v>2105000</v>
      </c>
      <c r="D13" s="273">
        <v>2105000</v>
      </c>
      <c r="E13" s="273">
        <v>2105000</v>
      </c>
      <c r="F13" s="273">
        <v>2105000</v>
      </c>
      <c r="G13" s="131">
        <f t="shared" si="0"/>
        <v>0</v>
      </c>
    </row>
    <row r="14" spans="1:7" ht="19.7" customHeight="1" x14ac:dyDescent="0.25">
      <c r="A14" s="94" t="s">
        <v>246</v>
      </c>
      <c r="B14" s="68">
        <v>20000</v>
      </c>
      <c r="C14" s="273">
        <v>20000</v>
      </c>
      <c r="D14" s="273">
        <v>20000</v>
      </c>
      <c r="E14" s="273">
        <v>20000</v>
      </c>
      <c r="F14" s="273">
        <v>20000</v>
      </c>
      <c r="G14" s="131">
        <f t="shared" si="0"/>
        <v>0</v>
      </c>
    </row>
    <row r="15" spans="1:7" ht="19.7" customHeight="1" x14ac:dyDescent="0.25">
      <c r="A15" s="94" t="s">
        <v>304</v>
      </c>
      <c r="B15" s="68">
        <v>460000</v>
      </c>
      <c r="C15" s="273">
        <v>460000</v>
      </c>
      <c r="D15" s="273">
        <f>460000+20000</f>
        <v>480000</v>
      </c>
      <c r="E15" s="273">
        <f>460000+20000</f>
        <v>480000</v>
      </c>
      <c r="F15" s="273">
        <f>460000+20000</f>
        <v>480000</v>
      </c>
      <c r="G15" s="131">
        <f t="shared" si="0"/>
        <v>0</v>
      </c>
    </row>
    <row r="16" spans="1:7" ht="19.7" customHeight="1" x14ac:dyDescent="0.25">
      <c r="A16" s="94" t="s">
        <v>247</v>
      </c>
      <c r="B16" s="68">
        <v>1773982</v>
      </c>
      <c r="C16" s="273">
        <v>1773982</v>
      </c>
      <c r="D16" s="273">
        <f>1773982-5000</f>
        <v>1768982</v>
      </c>
      <c r="E16" s="273">
        <f>1773982-5000</f>
        <v>1768982</v>
      </c>
      <c r="F16" s="273">
        <f>1773982-5000</f>
        <v>1768982</v>
      </c>
      <c r="G16" s="131">
        <f t="shared" si="0"/>
        <v>0</v>
      </c>
    </row>
    <row r="17" spans="1:11" ht="19.7" customHeight="1" x14ac:dyDescent="0.25">
      <c r="A17" s="94" t="s">
        <v>305</v>
      </c>
      <c r="B17" s="68">
        <v>20000</v>
      </c>
      <c r="C17" s="273">
        <f>20000+150000</f>
        <v>170000</v>
      </c>
      <c r="D17" s="273">
        <f>20000+150000</f>
        <v>170000</v>
      </c>
      <c r="E17" s="273">
        <f>20000+150000</f>
        <v>170000</v>
      </c>
      <c r="F17" s="273">
        <f>20000+150000</f>
        <v>170000</v>
      </c>
      <c r="G17" s="131">
        <f t="shared" si="0"/>
        <v>0</v>
      </c>
    </row>
    <row r="18" spans="1:11" ht="31.5" customHeight="1" x14ac:dyDescent="0.25">
      <c r="A18" s="94" t="s">
        <v>248</v>
      </c>
      <c r="B18" s="68">
        <v>1494000</v>
      </c>
      <c r="C18" s="273">
        <v>1494000</v>
      </c>
      <c r="D18" s="273">
        <f>1494000+100000+350000</f>
        <v>1944000</v>
      </c>
      <c r="E18" s="273">
        <f>1944000+236220</f>
        <v>2180220</v>
      </c>
      <c r="F18" s="273">
        <f>1944000+236220</f>
        <v>2180220</v>
      </c>
      <c r="G18" s="131">
        <f t="shared" si="0"/>
        <v>0</v>
      </c>
    </row>
    <row r="19" spans="1:11" ht="19.7" customHeight="1" x14ac:dyDescent="0.25">
      <c r="A19" s="94" t="s">
        <v>252</v>
      </c>
      <c r="B19" s="68">
        <v>4000000</v>
      </c>
      <c r="C19" s="273">
        <v>4000000</v>
      </c>
      <c r="D19" s="273">
        <f>4000000+30294+500000-20000-100000</f>
        <v>4410294</v>
      </c>
      <c r="E19" s="273">
        <f>4000000+30294+500000-20000-100000</f>
        <v>4410294</v>
      </c>
      <c r="F19" s="273">
        <f>4000000+30294+500000-20000-100000</f>
        <v>4410294</v>
      </c>
      <c r="G19" s="131">
        <f t="shared" si="0"/>
        <v>0</v>
      </c>
    </row>
    <row r="20" spans="1:11" ht="19.7" customHeight="1" x14ac:dyDescent="0.25">
      <c r="A20" s="94" t="s">
        <v>271</v>
      </c>
      <c r="B20" s="68">
        <v>60000</v>
      </c>
      <c r="C20" s="273">
        <v>60000</v>
      </c>
      <c r="D20" s="273">
        <v>60000</v>
      </c>
      <c r="E20" s="273">
        <v>60000</v>
      </c>
      <c r="F20" s="273">
        <v>60000</v>
      </c>
      <c r="G20" s="131">
        <f t="shared" si="0"/>
        <v>0</v>
      </c>
    </row>
    <row r="21" spans="1:11" ht="19.5" customHeight="1" x14ac:dyDescent="0.25">
      <c r="A21" s="94" t="s">
        <v>249</v>
      </c>
      <c r="B21" s="68">
        <v>2121000</v>
      </c>
      <c r="C21" s="273">
        <v>2121000</v>
      </c>
      <c r="D21" s="273">
        <v>2121000</v>
      </c>
      <c r="E21" s="273">
        <f>2121000+29764+63780</f>
        <v>2214544</v>
      </c>
      <c r="F21" s="273">
        <f>2121000+29764+63780</f>
        <v>2214544</v>
      </c>
      <c r="G21" s="131">
        <f t="shared" si="0"/>
        <v>0</v>
      </c>
    </row>
    <row r="22" spans="1:11" ht="19.7" customHeight="1" x14ac:dyDescent="0.25">
      <c r="A22" s="94" t="s">
        <v>250</v>
      </c>
      <c r="B22" s="68">
        <v>700000</v>
      </c>
      <c r="C22" s="273">
        <f>700000+31890</f>
        <v>731890</v>
      </c>
      <c r="D22" s="273">
        <f>700000+31890</f>
        <v>731890</v>
      </c>
      <c r="E22" s="273">
        <f>700000+31890</f>
        <v>731890</v>
      </c>
      <c r="F22" s="273">
        <f>700000+31890</f>
        <v>731890</v>
      </c>
      <c r="G22" s="131">
        <f t="shared" si="0"/>
        <v>0</v>
      </c>
    </row>
    <row r="23" spans="1:11" ht="19.7" customHeight="1" x14ac:dyDescent="0.25">
      <c r="A23" s="94" t="s">
        <v>251</v>
      </c>
      <c r="B23" s="68">
        <v>1078000</v>
      </c>
      <c r="C23" s="273">
        <v>1078000</v>
      </c>
      <c r="D23" s="273">
        <v>1078000</v>
      </c>
      <c r="E23" s="273">
        <f>1078000</f>
        <v>1078000</v>
      </c>
      <c r="F23" s="273">
        <f>1078000</f>
        <v>1078000</v>
      </c>
      <c r="G23" s="131">
        <f t="shared" si="0"/>
        <v>0</v>
      </c>
    </row>
    <row r="24" spans="1:11" ht="19.7" customHeight="1" x14ac:dyDescent="0.25">
      <c r="A24" s="94" t="s">
        <v>382</v>
      </c>
      <c r="B24" s="273"/>
      <c r="C24" s="273"/>
      <c r="D24" s="273"/>
      <c r="E24" s="273">
        <v>622300</v>
      </c>
      <c r="F24" s="273">
        <v>622300</v>
      </c>
      <c r="G24" s="131">
        <f t="shared" si="0"/>
        <v>0</v>
      </c>
    </row>
    <row r="25" spans="1:11" ht="27.75" customHeight="1" x14ac:dyDescent="0.25">
      <c r="A25" s="94" t="s">
        <v>379</v>
      </c>
      <c r="B25" s="273"/>
      <c r="C25" s="273"/>
      <c r="D25" s="273">
        <v>11040004</v>
      </c>
      <c r="E25" s="273">
        <v>11040004</v>
      </c>
      <c r="F25" s="273">
        <v>11040004</v>
      </c>
      <c r="G25" s="131">
        <f t="shared" si="0"/>
        <v>0</v>
      </c>
    </row>
    <row r="26" spans="1:11" s="182" customFormat="1" ht="47.25" x14ac:dyDescent="0.25">
      <c r="A26" s="91" t="s">
        <v>272</v>
      </c>
      <c r="B26" s="85">
        <f>B27</f>
        <v>3795000</v>
      </c>
      <c r="C26" s="85">
        <f>C27</f>
        <v>3795000</v>
      </c>
      <c r="D26" s="274">
        <f>D27</f>
        <v>3795000</v>
      </c>
      <c r="E26" s="274">
        <f>E27</f>
        <v>3795000</v>
      </c>
      <c r="F26" s="274">
        <f>F27</f>
        <v>3795000</v>
      </c>
      <c r="G26" s="131">
        <f t="shared" si="0"/>
        <v>0</v>
      </c>
    </row>
    <row r="27" spans="1:11" ht="19.7" customHeight="1" x14ac:dyDescent="0.25">
      <c r="A27" s="94" t="s">
        <v>287</v>
      </c>
      <c r="B27" s="68">
        <v>3795000</v>
      </c>
      <c r="C27" s="92">
        <v>3795000</v>
      </c>
      <c r="D27" s="92">
        <v>3795000</v>
      </c>
      <c r="E27" s="92">
        <v>3795000</v>
      </c>
      <c r="F27" s="92">
        <v>3795000</v>
      </c>
      <c r="G27" s="131">
        <f t="shared" si="0"/>
        <v>0</v>
      </c>
    </row>
    <row r="28" spans="1:11" s="182" customFormat="1" ht="21" customHeight="1" x14ac:dyDescent="0.25">
      <c r="A28" s="88" t="s">
        <v>89</v>
      </c>
      <c r="B28" s="85">
        <f>B29+B31+B32+B33+B34+B35+B36</f>
        <v>13095342</v>
      </c>
      <c r="C28" s="85">
        <f>C29+C31+C32+C33+C34+C35+C36+C37</f>
        <v>13205782</v>
      </c>
      <c r="D28" s="274">
        <f>D29+D31+D32+D33+D34+D35+D36+D37</f>
        <v>13013128</v>
      </c>
      <c r="E28" s="274">
        <f>E29+E31+E32+E33+E34+E35+E36+E37</f>
        <v>13013128</v>
      </c>
      <c r="F28" s="274">
        <f>F29+F31+F32+F33+F34+F35+F36+F37</f>
        <v>13013128</v>
      </c>
      <c r="G28" s="131">
        <f t="shared" si="0"/>
        <v>0</v>
      </c>
      <c r="H28" s="217"/>
      <c r="I28" s="183"/>
      <c r="J28" s="183"/>
      <c r="K28" s="183"/>
    </row>
    <row r="29" spans="1:11" ht="36" customHeight="1" x14ac:dyDescent="0.25">
      <c r="A29" s="95" t="s">
        <v>331</v>
      </c>
      <c r="B29" s="68"/>
      <c r="C29" s="68"/>
      <c r="D29" s="297"/>
      <c r="E29" s="297"/>
      <c r="F29" s="297"/>
      <c r="G29" s="131">
        <f t="shared" si="0"/>
        <v>0</v>
      </c>
      <c r="H29" s="217"/>
      <c r="I29" s="184"/>
      <c r="J29" s="184"/>
      <c r="K29" s="184"/>
    </row>
    <row r="30" spans="1:11" ht="31.5" x14ac:dyDescent="0.25">
      <c r="A30" s="96" t="s">
        <v>308</v>
      </c>
      <c r="B30" s="68"/>
      <c r="C30" s="92"/>
      <c r="D30" s="298"/>
      <c r="E30" s="298"/>
      <c r="F30" s="298"/>
      <c r="G30" s="131">
        <f t="shared" si="0"/>
        <v>0</v>
      </c>
      <c r="H30" s="217"/>
      <c r="I30" s="184"/>
      <c r="J30" s="184"/>
      <c r="K30" s="184"/>
    </row>
    <row r="31" spans="1:11" ht="33" customHeight="1" x14ac:dyDescent="0.25">
      <c r="A31" s="95" t="s">
        <v>92</v>
      </c>
      <c r="B31" s="68"/>
      <c r="C31" s="89"/>
      <c r="D31" s="296"/>
      <c r="E31" s="296"/>
      <c r="F31" s="296"/>
      <c r="G31" s="131">
        <f t="shared" si="0"/>
        <v>0</v>
      </c>
      <c r="H31" s="217"/>
      <c r="I31" s="184"/>
      <c r="J31" s="184"/>
      <c r="K31" s="184"/>
    </row>
    <row r="32" spans="1:11" ht="29.25" customHeight="1" x14ac:dyDescent="0.25">
      <c r="A32" s="95" t="s">
        <v>93</v>
      </c>
      <c r="B32" s="68"/>
      <c r="C32" s="89"/>
      <c r="D32" s="296"/>
      <c r="E32" s="296"/>
      <c r="F32" s="296"/>
      <c r="G32" s="131">
        <f t="shared" si="0"/>
        <v>0</v>
      </c>
      <c r="H32" s="217"/>
      <c r="I32" s="184"/>
      <c r="J32" s="184"/>
      <c r="K32" s="184"/>
    </row>
    <row r="33" spans="1:11" ht="29.25" customHeight="1" x14ac:dyDescent="0.25">
      <c r="A33" s="95" t="s">
        <v>329</v>
      </c>
      <c r="B33" s="68">
        <v>12335342</v>
      </c>
      <c r="C33" s="273">
        <f>'4.tábla'!C3</f>
        <v>12335342</v>
      </c>
      <c r="D33" s="273">
        <f>'4.tábla'!D3</f>
        <v>11331288</v>
      </c>
      <c r="E33" s="273">
        <f>'4.tábla'!E3</f>
        <v>11331288</v>
      </c>
      <c r="F33" s="273">
        <f>'4.tábla'!F3</f>
        <v>11331288</v>
      </c>
      <c r="G33" s="131">
        <f t="shared" si="0"/>
        <v>0</v>
      </c>
      <c r="H33" s="218"/>
      <c r="I33" s="179"/>
      <c r="J33" s="179"/>
      <c r="K33" s="179"/>
    </row>
    <row r="34" spans="1:11" ht="27" customHeight="1" x14ac:dyDescent="0.25">
      <c r="A34" s="95" t="s">
        <v>94</v>
      </c>
      <c r="B34" s="68"/>
      <c r="C34" s="89"/>
      <c r="D34" s="89"/>
      <c r="E34" s="296"/>
      <c r="F34" s="296"/>
      <c r="G34" s="131">
        <f t="shared" si="0"/>
        <v>0</v>
      </c>
      <c r="H34" s="218"/>
      <c r="I34" s="179"/>
      <c r="J34" s="179"/>
      <c r="K34" s="179"/>
    </row>
    <row r="35" spans="1:11" ht="38.25" customHeight="1" x14ac:dyDescent="0.25">
      <c r="A35" s="95" t="s">
        <v>3</v>
      </c>
      <c r="B35" s="68"/>
      <c r="C35" s="97"/>
      <c r="D35" s="277"/>
      <c r="E35" s="293"/>
      <c r="F35" s="293"/>
      <c r="G35" s="131">
        <f t="shared" si="0"/>
        <v>0</v>
      </c>
      <c r="H35" s="218"/>
      <c r="I35" s="179"/>
      <c r="J35" s="179"/>
      <c r="K35" s="179"/>
    </row>
    <row r="36" spans="1:11" ht="47.25" x14ac:dyDescent="0.25">
      <c r="A36" s="95" t="s">
        <v>330</v>
      </c>
      <c r="B36" s="68">
        <f>'4.tábla'!B9</f>
        <v>760000</v>
      </c>
      <c r="C36" s="273">
        <f>'4.tábla'!C9</f>
        <v>760000</v>
      </c>
      <c r="D36" s="273">
        <f>'4.tábla'!D9</f>
        <v>1571400</v>
      </c>
      <c r="E36" s="273">
        <f>'4.tábla'!E9</f>
        <v>1571400</v>
      </c>
      <c r="F36" s="273">
        <f>'4.tábla'!F9</f>
        <v>1571400</v>
      </c>
      <c r="G36" s="131">
        <f t="shared" si="0"/>
        <v>0</v>
      </c>
      <c r="H36" s="218"/>
      <c r="I36" s="179"/>
      <c r="J36" s="179"/>
      <c r="K36" s="179"/>
    </row>
    <row r="37" spans="1:11" ht="47.25" customHeight="1" x14ac:dyDescent="0.25">
      <c r="A37" s="95" t="s">
        <v>366</v>
      </c>
      <c r="B37" s="68"/>
      <c r="C37" s="273">
        <v>110440</v>
      </c>
      <c r="D37" s="297">
        <v>110440</v>
      </c>
      <c r="E37" s="297">
        <v>110440</v>
      </c>
      <c r="F37" s="297">
        <v>110440</v>
      </c>
      <c r="G37" s="131">
        <f t="shared" si="0"/>
        <v>0</v>
      </c>
      <c r="H37" s="218"/>
      <c r="I37" s="179"/>
      <c r="J37" s="179"/>
      <c r="K37" s="179"/>
    </row>
    <row r="38" spans="1:11" s="182" customFormat="1" ht="48" thickBot="1" x14ac:dyDescent="0.3">
      <c r="A38" s="98" t="s">
        <v>95</v>
      </c>
      <c r="B38" s="86">
        <f>B6+B7+B8+B26+B28</f>
        <v>47582807</v>
      </c>
      <c r="C38" s="86">
        <f>C6+C7+C8+C26+C28</f>
        <v>48919723</v>
      </c>
      <c r="D38" s="86">
        <f>D6+D7+D8+D26+D28</f>
        <v>61574034</v>
      </c>
      <c r="E38" s="86">
        <f>E6+E7+E8+E26+E28</f>
        <v>63607373</v>
      </c>
      <c r="F38" s="86">
        <f>F6+F7+F8+F26+F28</f>
        <v>63607373</v>
      </c>
      <c r="G38" s="131">
        <f t="shared" si="0"/>
        <v>0</v>
      </c>
      <c r="H38" s="219"/>
      <c r="I38" s="180"/>
      <c r="J38" s="180"/>
      <c r="K38" s="180"/>
    </row>
  </sheetData>
  <sheetProtection selectLockedCells="1" selectUnlockedCells="1"/>
  <mergeCells count="1">
    <mergeCell ref="A3:G3"/>
  </mergeCells>
  <phoneticPr fontId="21" type="noConversion"/>
  <printOptions horizontalCentered="1"/>
  <pageMargins left="0.15748031496062992" right="3.125E-2" top="0.77692307692307694" bottom="0.19685039370078741" header="0.11811023622047245" footer="0.51181102362204722"/>
  <pageSetup paperSize="9" firstPageNumber="0" orientation="portrait" r:id="rId1"/>
  <headerFooter alignWithMargins="0">
    <oddHeader>&amp;C&amp;"Times New Roman,Normál"&amp;12 3. melléklet
Az önkormányzat 2018. évi költségvetéséről szóló 3/2019. (III. 14.)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33"/>
  <sheetViews>
    <sheetView view="pageLayout" zoomScaleNormal="90" workbookViewId="0">
      <selection activeCell="I7" sqref="I7"/>
    </sheetView>
  </sheetViews>
  <sheetFormatPr defaultColWidth="9" defaultRowHeight="15.75" x14ac:dyDescent="0.25"/>
  <cols>
    <col min="1" max="1" width="24.5703125" style="198" customWidth="1"/>
    <col min="2" max="2" width="12.85546875" style="198" customWidth="1"/>
    <col min="3" max="3" width="11.42578125" style="199" customWidth="1"/>
    <col min="4" max="4" width="13.7109375" style="264" customWidth="1"/>
    <col min="5" max="6" width="12" style="264" customWidth="1"/>
    <col min="7" max="7" width="12.85546875" style="199" customWidth="1"/>
    <col min="8" max="8" width="15.28515625" style="199" customWidth="1"/>
    <col min="9" max="16384" width="9" style="199"/>
  </cols>
  <sheetData>
    <row r="1" spans="1:8" ht="27.75" customHeight="1" thickBot="1" x14ac:dyDescent="0.3">
      <c r="A1" s="359" t="s">
        <v>360</v>
      </c>
      <c r="B1" s="359"/>
      <c r="C1" s="359"/>
      <c r="D1" s="359"/>
      <c r="E1" s="359"/>
      <c r="F1" s="359"/>
      <c r="G1" s="359"/>
    </row>
    <row r="2" spans="1:8" ht="31.5" x14ac:dyDescent="0.25">
      <c r="A2" s="200" t="s">
        <v>84</v>
      </c>
      <c r="B2" s="37" t="s">
        <v>384</v>
      </c>
      <c r="C2" s="37" t="s">
        <v>385</v>
      </c>
      <c r="D2" s="37" t="s">
        <v>391</v>
      </c>
      <c r="E2" s="37" t="s">
        <v>392</v>
      </c>
      <c r="F2" s="37" t="s">
        <v>393</v>
      </c>
      <c r="G2" s="333" t="s">
        <v>367</v>
      </c>
    </row>
    <row r="3" spans="1:8" ht="45" customHeight="1" x14ac:dyDescent="0.25">
      <c r="A3" s="201" t="s">
        <v>254</v>
      </c>
      <c r="B3" s="335">
        <f>SUM(B4:B7)</f>
        <v>12335342</v>
      </c>
      <c r="C3" s="335">
        <f>SUM(C4:C7)</f>
        <v>12335342</v>
      </c>
      <c r="D3" s="335">
        <f>SUM(D4:D7)</f>
        <v>11331288</v>
      </c>
      <c r="E3" s="335">
        <f>SUM(E4:E7)</f>
        <v>11331288</v>
      </c>
      <c r="F3" s="335">
        <f>SUM(F4:F7)</f>
        <v>11331288</v>
      </c>
      <c r="G3" s="341">
        <f>F3-E3</f>
        <v>0</v>
      </c>
    </row>
    <row r="4" spans="1:8" ht="28.5" customHeight="1" x14ac:dyDescent="0.25">
      <c r="A4" s="202" t="s">
        <v>255</v>
      </c>
      <c r="B4" s="203">
        <v>4863153</v>
      </c>
      <c r="C4" s="275">
        <v>4863153</v>
      </c>
      <c r="D4" s="275">
        <v>3859099</v>
      </c>
      <c r="E4" s="275">
        <v>3859099</v>
      </c>
      <c r="F4" s="275">
        <v>3859099</v>
      </c>
      <c r="G4" s="341">
        <f t="shared" ref="G4:G24" si="0">F4-E4</f>
        <v>0</v>
      </c>
    </row>
    <row r="5" spans="1:8" ht="28.5" customHeight="1" x14ac:dyDescent="0.25">
      <c r="A5" s="202" t="s">
        <v>256</v>
      </c>
      <c r="B5" s="203">
        <v>6117300</v>
      </c>
      <c r="C5" s="275">
        <v>6117300</v>
      </c>
      <c r="D5" s="275">
        <v>6117300</v>
      </c>
      <c r="E5" s="275">
        <v>6117300</v>
      </c>
      <c r="F5" s="275">
        <v>6117300</v>
      </c>
      <c r="G5" s="341">
        <f t="shared" si="0"/>
        <v>0</v>
      </c>
      <c r="H5" s="205"/>
    </row>
    <row r="6" spans="1:8" ht="28.5" customHeight="1" x14ac:dyDescent="0.25">
      <c r="A6" s="202" t="s">
        <v>261</v>
      </c>
      <c r="B6" s="203">
        <v>954889</v>
      </c>
      <c r="C6" s="275">
        <v>954889</v>
      </c>
      <c r="D6" s="275">
        <v>954889</v>
      </c>
      <c r="E6" s="275">
        <v>954889</v>
      </c>
      <c r="F6" s="275">
        <v>954889</v>
      </c>
      <c r="G6" s="341">
        <f t="shared" si="0"/>
        <v>0</v>
      </c>
    </row>
    <row r="7" spans="1:8" ht="28.5" customHeight="1" x14ac:dyDescent="0.25">
      <c r="A7" s="207" t="s">
        <v>257</v>
      </c>
      <c r="B7" s="203">
        <v>400000</v>
      </c>
      <c r="C7" s="275">
        <v>400000</v>
      </c>
      <c r="D7" s="275">
        <v>400000</v>
      </c>
      <c r="E7" s="275">
        <v>400000</v>
      </c>
      <c r="F7" s="275">
        <v>400000</v>
      </c>
      <c r="G7" s="341">
        <f t="shared" si="0"/>
        <v>0</v>
      </c>
    </row>
    <row r="8" spans="1:8" ht="28.5" customHeight="1" x14ac:dyDescent="0.25">
      <c r="A8" s="207" t="s">
        <v>297</v>
      </c>
      <c r="B8" s="203"/>
      <c r="C8" s="206"/>
      <c r="D8" s="206"/>
      <c r="E8" s="328"/>
      <c r="F8" s="328"/>
      <c r="G8" s="341">
        <f t="shared" si="0"/>
        <v>0</v>
      </c>
    </row>
    <row r="9" spans="1:8" ht="63" x14ac:dyDescent="0.25">
      <c r="A9" s="201" t="s">
        <v>258</v>
      </c>
      <c r="B9" s="335">
        <f>SUM(B10:B17)</f>
        <v>760000</v>
      </c>
      <c r="C9" s="335">
        <f>SUM(C10:C17)</f>
        <v>760000</v>
      </c>
      <c r="D9" s="335">
        <f>SUM(D10:D17)</f>
        <v>1571400</v>
      </c>
      <c r="E9" s="335">
        <f>SUM(E10:E17)</f>
        <v>1571400</v>
      </c>
      <c r="F9" s="335">
        <f>SUM(F10:F17)</f>
        <v>1571400</v>
      </c>
      <c r="G9" s="341">
        <f t="shared" si="0"/>
        <v>0</v>
      </c>
    </row>
    <row r="10" spans="1:8" ht="28.5" customHeight="1" x14ac:dyDescent="0.25">
      <c r="A10" s="208" t="s">
        <v>299</v>
      </c>
      <c r="B10" s="203">
        <v>0</v>
      </c>
      <c r="C10" s="275">
        <v>0</v>
      </c>
      <c r="D10" s="275">
        <v>0</v>
      </c>
      <c r="E10" s="275">
        <v>0</v>
      </c>
      <c r="F10" s="275">
        <v>0</v>
      </c>
      <c r="G10" s="341">
        <f t="shared" si="0"/>
        <v>0</v>
      </c>
    </row>
    <row r="11" spans="1:8" ht="28.5" customHeight="1" x14ac:dyDescent="0.25">
      <c r="A11" s="208" t="s">
        <v>300</v>
      </c>
      <c r="B11" s="203">
        <v>0</v>
      </c>
      <c r="C11" s="275">
        <v>0</v>
      </c>
      <c r="D11" s="275">
        <v>0</v>
      </c>
      <c r="E11" s="275">
        <v>0</v>
      </c>
      <c r="F11" s="275">
        <v>0</v>
      </c>
      <c r="G11" s="341">
        <f t="shared" si="0"/>
        <v>0</v>
      </c>
    </row>
    <row r="12" spans="1:8" ht="28.5" customHeight="1" x14ac:dyDescent="0.25">
      <c r="A12" s="208" t="s">
        <v>301</v>
      </c>
      <c r="B12" s="203">
        <v>0</v>
      </c>
      <c r="C12" s="275">
        <v>0</v>
      </c>
      <c r="D12" s="275">
        <v>0</v>
      </c>
      <c r="E12" s="275">
        <v>0</v>
      </c>
      <c r="F12" s="275">
        <v>0</v>
      </c>
      <c r="G12" s="341">
        <f t="shared" si="0"/>
        <v>0</v>
      </c>
    </row>
    <row r="13" spans="1:8" ht="28.5" customHeight="1" x14ac:dyDescent="0.25">
      <c r="A13" s="208" t="s">
        <v>303</v>
      </c>
      <c r="B13" s="203">
        <v>150000</v>
      </c>
      <c r="C13" s="275">
        <v>150000</v>
      </c>
      <c r="D13" s="275">
        <v>150000</v>
      </c>
      <c r="E13" s="275">
        <v>150000</v>
      </c>
      <c r="F13" s="275">
        <v>150000</v>
      </c>
      <c r="G13" s="341">
        <f t="shared" si="0"/>
        <v>0</v>
      </c>
    </row>
    <row r="14" spans="1:8" ht="28.5" customHeight="1" x14ac:dyDescent="0.25">
      <c r="A14" s="208" t="s">
        <v>302</v>
      </c>
      <c r="B14" s="203">
        <v>500000</v>
      </c>
      <c r="C14" s="275">
        <v>500000</v>
      </c>
      <c r="D14" s="275">
        <v>500000</v>
      </c>
      <c r="E14" s="275">
        <v>500000</v>
      </c>
      <c r="F14" s="275">
        <v>500000</v>
      </c>
      <c r="G14" s="341">
        <f>F14-E14</f>
        <v>0</v>
      </c>
    </row>
    <row r="15" spans="1:8" ht="28.5" customHeight="1" x14ac:dyDescent="0.25">
      <c r="A15" s="208" t="s">
        <v>307</v>
      </c>
      <c r="B15" s="203">
        <v>100000</v>
      </c>
      <c r="C15" s="275">
        <v>100000</v>
      </c>
      <c r="D15" s="275">
        <v>100000</v>
      </c>
      <c r="E15" s="275">
        <v>100000</v>
      </c>
      <c r="F15" s="275">
        <v>100000</v>
      </c>
      <c r="G15" s="341">
        <f t="shared" si="0"/>
        <v>0</v>
      </c>
    </row>
    <row r="16" spans="1:8" ht="28.5" customHeight="1" x14ac:dyDescent="0.25">
      <c r="A16" s="208" t="s">
        <v>309</v>
      </c>
      <c r="B16" s="203"/>
      <c r="C16" s="275"/>
      <c r="D16" s="275">
        <v>811400</v>
      </c>
      <c r="E16" s="275">
        <v>811400</v>
      </c>
      <c r="F16" s="275">
        <v>811400</v>
      </c>
      <c r="G16" s="341">
        <f t="shared" si="0"/>
        <v>0</v>
      </c>
    </row>
    <row r="17" spans="1:8" ht="28.5" customHeight="1" x14ac:dyDescent="0.25">
      <c r="A17" s="208" t="s">
        <v>326</v>
      </c>
      <c r="B17" s="203">
        <v>10000</v>
      </c>
      <c r="C17" s="275">
        <v>10000</v>
      </c>
      <c r="D17" s="275">
        <v>10000</v>
      </c>
      <c r="E17" s="275">
        <v>10000</v>
      </c>
      <c r="F17" s="275">
        <v>10000</v>
      </c>
      <c r="G17" s="341">
        <f t="shared" si="0"/>
        <v>0</v>
      </c>
    </row>
    <row r="18" spans="1:8" ht="42" customHeight="1" x14ac:dyDescent="0.25">
      <c r="A18" s="209" t="s">
        <v>259</v>
      </c>
      <c r="B18" s="210">
        <v>0</v>
      </c>
      <c r="C18" s="206"/>
      <c r="D18" s="206"/>
      <c r="E18" s="328"/>
      <c r="F18" s="328"/>
      <c r="G18" s="341">
        <f t="shared" si="0"/>
        <v>0</v>
      </c>
    </row>
    <row r="19" spans="1:8" x14ac:dyDescent="0.25">
      <c r="A19" s="208"/>
      <c r="B19" s="203"/>
      <c r="C19" s="206"/>
      <c r="D19" s="206"/>
      <c r="E19" s="328"/>
      <c r="F19" s="328"/>
      <c r="G19" s="341">
        <f t="shared" si="0"/>
        <v>0</v>
      </c>
    </row>
    <row r="20" spans="1:8" ht="31.5" x14ac:dyDescent="0.25">
      <c r="A20" s="211" t="s">
        <v>260</v>
      </c>
      <c r="B20" s="203"/>
      <c r="C20" s="206"/>
      <c r="D20" s="206"/>
      <c r="E20" s="328"/>
      <c r="F20" s="328"/>
      <c r="G20" s="341">
        <f t="shared" si="0"/>
        <v>0</v>
      </c>
    </row>
    <row r="21" spans="1:8" x14ac:dyDescent="0.25">
      <c r="A21" s="208"/>
      <c r="B21" s="203"/>
      <c r="C21" s="206"/>
      <c r="D21" s="206"/>
      <c r="E21" s="328"/>
      <c r="F21" s="328"/>
      <c r="G21" s="341">
        <f t="shared" si="0"/>
        <v>0</v>
      </c>
    </row>
    <row r="22" spans="1:8" x14ac:dyDescent="0.25">
      <c r="A22" s="208"/>
      <c r="B22" s="203"/>
      <c r="C22" s="206"/>
      <c r="D22" s="206"/>
      <c r="E22" s="328"/>
      <c r="F22" s="328"/>
      <c r="G22" s="341">
        <f t="shared" si="0"/>
        <v>0</v>
      </c>
    </row>
    <row r="23" spans="1:8" x14ac:dyDescent="0.25">
      <c r="A23" s="208"/>
      <c r="B23" s="203"/>
      <c r="C23" s="206"/>
      <c r="D23" s="206"/>
      <c r="E23" s="328"/>
      <c r="F23" s="328"/>
      <c r="G23" s="341">
        <f t="shared" si="0"/>
        <v>0</v>
      </c>
    </row>
    <row r="24" spans="1:8" ht="16.5" thickBot="1" x14ac:dyDescent="0.3">
      <c r="A24" s="212" t="s">
        <v>85</v>
      </c>
      <c r="B24" s="213">
        <f>B9+B3</f>
        <v>13095342</v>
      </c>
      <c r="C24" s="213">
        <f>C9+C3</f>
        <v>13095342</v>
      </c>
      <c r="D24" s="213">
        <f>D9+D3</f>
        <v>12902688</v>
      </c>
      <c r="E24" s="213">
        <f>E9+E3</f>
        <v>12902688</v>
      </c>
      <c r="F24" s="213">
        <f>F9+F3</f>
        <v>12902688</v>
      </c>
      <c r="G24" s="341">
        <f t="shared" si="0"/>
        <v>0</v>
      </c>
      <c r="H24" s="205"/>
    </row>
    <row r="25" spans="1:8" x14ac:dyDescent="0.25">
      <c r="A25" s="214"/>
    </row>
    <row r="26" spans="1:8" x14ac:dyDescent="0.25">
      <c r="B26" s="215"/>
    </row>
    <row r="31" spans="1:8" x14ac:dyDescent="0.25">
      <c r="B31" s="216"/>
    </row>
    <row r="32" spans="1:8" x14ac:dyDescent="0.25">
      <c r="B32" s="216"/>
    </row>
    <row r="33" spans="2:2" x14ac:dyDescent="0.25">
      <c r="B33" s="216"/>
    </row>
  </sheetData>
  <mergeCells count="1">
    <mergeCell ref="A1:G1"/>
  </mergeCells>
  <pageMargins left="0.17708333333333334" right="0.33333333333333331" top="1.1417322834645669" bottom="0.74803149606299213" header="0.31496062992125984" footer="0.31496062992125984"/>
  <pageSetup paperSize="9" orientation="portrait" r:id="rId1"/>
  <headerFooter>
    <oddHeader>&amp;C&amp;"Times New Roman,Normál"&amp;12 4. melléklet
Az önkormányzat 2018. évi költségvetéséről szóló 3/2019. (III. 14.)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39"/>
  <sheetViews>
    <sheetView view="pageLayout" zoomScaleNormal="80" zoomScaleSheetLayoutView="80" workbookViewId="0">
      <selection activeCell="I10" sqref="I10"/>
    </sheetView>
  </sheetViews>
  <sheetFormatPr defaultColWidth="9" defaultRowHeight="18" customHeight="1" x14ac:dyDescent="0.25"/>
  <cols>
    <col min="1" max="1" width="29.42578125" style="166" customWidth="1"/>
    <col min="2" max="2" width="12" style="167" customWidth="1"/>
    <col min="3" max="3" width="12.5703125" style="167" customWidth="1"/>
    <col min="4" max="4" width="11.140625" style="167" customWidth="1"/>
    <col min="5" max="5" width="13.7109375" style="167" customWidth="1"/>
    <col min="6" max="6" width="11.140625" style="167" customWidth="1"/>
    <col min="7" max="7" width="11.5703125" style="167" customWidth="1"/>
    <col min="8" max="8" width="15.28515625" style="168" customWidth="1"/>
    <col min="9" max="9" width="23.85546875" style="167" customWidth="1"/>
    <col min="10" max="16384" width="9" style="167"/>
  </cols>
  <sheetData>
    <row r="1" spans="1:8" ht="18" customHeight="1" thickBot="1" x14ac:dyDescent="0.3">
      <c r="A1" s="360" t="s">
        <v>356</v>
      </c>
      <c r="B1" s="360"/>
      <c r="C1" s="360"/>
      <c r="D1" s="360"/>
      <c r="E1" s="360"/>
      <c r="F1" s="360"/>
      <c r="G1" s="360"/>
    </row>
    <row r="2" spans="1:8" ht="39" customHeight="1" x14ac:dyDescent="0.25">
      <c r="A2" s="100" t="s">
        <v>84</v>
      </c>
      <c r="B2" s="37" t="s">
        <v>384</v>
      </c>
      <c r="C2" s="37" t="s">
        <v>385</v>
      </c>
      <c r="D2" s="37" t="s">
        <v>391</v>
      </c>
      <c r="E2" s="37" t="s">
        <v>392</v>
      </c>
      <c r="F2" s="37" t="s">
        <v>393</v>
      </c>
      <c r="G2" s="333" t="s">
        <v>367</v>
      </c>
    </row>
    <row r="3" spans="1:8" s="194" customFormat="1" ht="24.75" customHeight="1" x14ac:dyDescent="0.2">
      <c r="A3" s="195" t="s">
        <v>262</v>
      </c>
      <c r="B3" s="101">
        <f t="shared" ref="B3:G3" si="0">B4+B6+B15+B14</f>
        <v>9119196</v>
      </c>
      <c r="C3" s="101">
        <f t="shared" si="0"/>
        <v>9217399</v>
      </c>
      <c r="D3" s="101">
        <f t="shared" si="0"/>
        <v>14222020</v>
      </c>
      <c r="E3" s="101">
        <f t="shared" si="0"/>
        <v>14402020</v>
      </c>
      <c r="F3" s="101">
        <f t="shared" si="0"/>
        <v>14402020</v>
      </c>
      <c r="G3" s="101">
        <f t="shared" si="0"/>
        <v>0</v>
      </c>
      <c r="H3" s="193"/>
    </row>
    <row r="4" spans="1:8" s="194" customFormat="1" ht="24.75" customHeight="1" x14ac:dyDescent="0.2">
      <c r="A4" s="263" t="s">
        <v>358</v>
      </c>
      <c r="B4" s="271">
        <f>SUM(B5:B5)</f>
        <v>2500000</v>
      </c>
      <c r="C4" s="271">
        <f>SUM(C5:C5)</f>
        <v>2500000</v>
      </c>
      <c r="D4" s="271">
        <f>SUM(D5:D5)</f>
        <v>2500000</v>
      </c>
      <c r="E4" s="271">
        <f>SUM(E5:E5)</f>
        <v>2500000</v>
      </c>
      <c r="F4" s="271">
        <f>SUM(F5:F5)</f>
        <v>2500000</v>
      </c>
      <c r="G4" s="271">
        <f>F4-E4</f>
        <v>0</v>
      </c>
      <c r="H4" s="193"/>
    </row>
    <row r="5" spans="1:8" s="194" customFormat="1" ht="24.75" customHeight="1" x14ac:dyDescent="0.2">
      <c r="A5" s="263" t="s">
        <v>359</v>
      </c>
      <c r="B5" s="271">
        <v>2500000</v>
      </c>
      <c r="C5" s="271">
        <v>2500000</v>
      </c>
      <c r="D5" s="271">
        <v>2500000</v>
      </c>
      <c r="E5" s="271">
        <v>2500000</v>
      </c>
      <c r="F5" s="271">
        <v>2500000</v>
      </c>
      <c r="G5" s="271">
        <f t="shared" ref="G5:G38" si="1">F5-E5</f>
        <v>0</v>
      </c>
      <c r="H5" s="193"/>
    </row>
    <row r="6" spans="1:8" s="164" customFormat="1" ht="12" customHeight="1" x14ac:dyDescent="0.25">
      <c r="A6" s="103" t="s">
        <v>293</v>
      </c>
      <c r="B6" s="104">
        <f>B7+B8+B10+B11+B13</f>
        <v>4569196</v>
      </c>
      <c r="C6" s="104">
        <f>C7+C8+C10+C11+C13+C12</f>
        <v>4667399</v>
      </c>
      <c r="D6" s="271">
        <f>D7+D8+D9+D11+D13</f>
        <v>8672019</v>
      </c>
      <c r="E6" s="271">
        <f>E7+E8+E9+E11+E13</f>
        <v>8672019</v>
      </c>
      <c r="F6" s="271">
        <f>F7+F8+F9+F11+F13</f>
        <v>8672019</v>
      </c>
      <c r="G6" s="271">
        <f t="shared" si="1"/>
        <v>0</v>
      </c>
      <c r="H6" s="169"/>
    </row>
    <row r="7" spans="1:8" s="164" customFormat="1" ht="14.25" customHeight="1" x14ac:dyDescent="0.25">
      <c r="A7" s="105" t="s">
        <v>314</v>
      </c>
      <c r="B7" s="106">
        <v>0</v>
      </c>
      <c r="C7" s="270">
        <v>0</v>
      </c>
      <c r="D7" s="270">
        <v>0</v>
      </c>
      <c r="E7" s="270">
        <v>0</v>
      </c>
      <c r="F7" s="270"/>
      <c r="G7" s="271">
        <f t="shared" si="1"/>
        <v>0</v>
      </c>
      <c r="H7" s="169"/>
    </row>
    <row r="8" spans="1:8" s="164" customFormat="1" ht="29.25" customHeight="1" x14ac:dyDescent="0.25">
      <c r="A8" s="105" t="s">
        <v>372</v>
      </c>
      <c r="B8" s="106">
        <v>0</v>
      </c>
      <c r="C8" s="270">
        <v>0</v>
      </c>
      <c r="D8" s="270">
        <v>1004620</v>
      </c>
      <c r="E8" s="270">
        <v>1004620</v>
      </c>
      <c r="F8" s="270">
        <v>1004620</v>
      </c>
      <c r="G8" s="271">
        <f t="shared" si="1"/>
        <v>0</v>
      </c>
      <c r="H8" s="169"/>
    </row>
    <row r="9" spans="1:8" s="164" customFormat="1" ht="29.25" customHeight="1" x14ac:dyDescent="0.25">
      <c r="A9" s="105" t="s">
        <v>373</v>
      </c>
      <c r="B9" s="270"/>
      <c r="C9" s="270"/>
      <c r="D9" s="270">
        <v>3000000</v>
      </c>
      <c r="E9" s="270">
        <v>3000000</v>
      </c>
      <c r="F9" s="270">
        <v>3000000</v>
      </c>
      <c r="G9" s="271">
        <f t="shared" si="1"/>
        <v>0</v>
      </c>
      <c r="H9" s="169"/>
    </row>
    <row r="10" spans="1:8" s="164" customFormat="1" ht="27" customHeight="1" x14ac:dyDescent="0.25">
      <c r="A10" s="105" t="s">
        <v>315</v>
      </c>
      <c r="B10" s="106">
        <v>0</v>
      </c>
      <c r="C10" s="270">
        <v>0</v>
      </c>
      <c r="D10" s="270">
        <v>0</v>
      </c>
      <c r="E10" s="270">
        <v>0</v>
      </c>
      <c r="F10" s="270">
        <v>0</v>
      </c>
      <c r="G10" s="271">
        <f t="shared" si="1"/>
        <v>0</v>
      </c>
      <c r="H10" s="169"/>
    </row>
    <row r="11" spans="1:8" s="164" customFormat="1" ht="21.2" customHeight="1" x14ac:dyDescent="0.25">
      <c r="A11" s="105" t="s">
        <v>316</v>
      </c>
      <c r="B11" s="106">
        <v>3228076</v>
      </c>
      <c r="C11" s="270">
        <v>3228076</v>
      </c>
      <c r="D11" s="270">
        <v>3228076</v>
      </c>
      <c r="E11" s="270">
        <v>3228076</v>
      </c>
      <c r="F11" s="270">
        <v>3228076</v>
      </c>
      <c r="G11" s="271">
        <f>F11-E11</f>
        <v>0</v>
      </c>
      <c r="H11" s="169"/>
    </row>
    <row r="12" spans="1:8" s="164" customFormat="1" ht="21.2" customHeight="1" x14ac:dyDescent="0.25">
      <c r="A12" s="105" t="s">
        <v>342</v>
      </c>
      <c r="B12" s="106">
        <v>0</v>
      </c>
      <c r="C12" s="270">
        <v>0</v>
      </c>
      <c r="D12" s="270">
        <v>0</v>
      </c>
      <c r="E12" s="270">
        <v>0</v>
      </c>
      <c r="F12" s="270"/>
      <c r="G12" s="271">
        <f t="shared" si="1"/>
        <v>0</v>
      </c>
      <c r="H12" s="169"/>
    </row>
    <row r="13" spans="1:8" s="164" customFormat="1" ht="21.2" customHeight="1" x14ac:dyDescent="0.25">
      <c r="A13" s="105" t="s">
        <v>357</v>
      </c>
      <c r="B13" s="106">
        <v>1341120</v>
      </c>
      <c r="C13" s="270">
        <v>1439323</v>
      </c>
      <c r="D13" s="270">
        <v>1439323</v>
      </c>
      <c r="E13" s="270">
        <v>1439323</v>
      </c>
      <c r="F13" s="270">
        <v>1439323</v>
      </c>
      <c r="G13" s="271">
        <f t="shared" si="1"/>
        <v>0</v>
      </c>
      <c r="H13" s="169"/>
    </row>
    <row r="14" spans="1:8" s="164" customFormat="1" ht="31.5" customHeight="1" x14ac:dyDescent="0.25">
      <c r="A14" s="103" t="s">
        <v>294</v>
      </c>
      <c r="B14" s="315">
        <v>50000</v>
      </c>
      <c r="C14" s="102">
        <v>50000</v>
      </c>
      <c r="D14" s="102">
        <v>50000</v>
      </c>
      <c r="E14" s="102">
        <v>50000</v>
      </c>
      <c r="F14" s="102">
        <v>50000</v>
      </c>
      <c r="G14" s="271">
        <f t="shared" si="1"/>
        <v>0</v>
      </c>
      <c r="H14" s="169"/>
    </row>
    <row r="15" spans="1:8" s="164" customFormat="1" ht="20.25" customHeight="1" x14ac:dyDescent="0.25">
      <c r="A15" s="103" t="s">
        <v>295</v>
      </c>
      <c r="B15" s="271">
        <f>B16+B17+B18+B19+B20</f>
        <v>2000000</v>
      </c>
      <c r="C15" s="271">
        <f>C16+C17+C18+C19+C20</f>
        <v>2000000</v>
      </c>
      <c r="D15" s="271">
        <f>D16+D17+D18+D19+D20</f>
        <v>3000001</v>
      </c>
      <c r="E15" s="271">
        <f>E16+E17+E18+E19+E20</f>
        <v>3180001</v>
      </c>
      <c r="F15" s="271">
        <f>F16+F17+F18+F19+F20</f>
        <v>3180001</v>
      </c>
      <c r="G15" s="271">
        <f t="shared" si="1"/>
        <v>0</v>
      </c>
      <c r="H15" s="169"/>
    </row>
    <row r="16" spans="1:8" s="164" customFormat="1" ht="21.2" customHeight="1" x14ac:dyDescent="0.25">
      <c r="A16" s="105" t="s">
        <v>381</v>
      </c>
      <c r="B16" s="106">
        <v>0</v>
      </c>
      <c r="C16" s="270">
        <v>0</v>
      </c>
      <c r="D16" s="270">
        <v>0</v>
      </c>
      <c r="E16" s="270">
        <v>180000</v>
      </c>
      <c r="F16" s="270">
        <v>180000</v>
      </c>
      <c r="G16" s="271">
        <f t="shared" si="1"/>
        <v>0</v>
      </c>
      <c r="H16" s="169"/>
    </row>
    <row r="17" spans="1:8" s="164" customFormat="1" ht="21.2" customHeight="1" x14ac:dyDescent="0.25">
      <c r="A17" s="105" t="s">
        <v>317</v>
      </c>
      <c r="B17" s="106">
        <v>0</v>
      </c>
      <c r="C17" s="270">
        <v>0</v>
      </c>
      <c r="D17" s="270">
        <v>0</v>
      </c>
      <c r="E17" s="270">
        <v>0</v>
      </c>
      <c r="F17" s="270">
        <v>0</v>
      </c>
      <c r="G17" s="271">
        <f t="shared" si="1"/>
        <v>0</v>
      </c>
      <c r="H17" s="169"/>
    </row>
    <row r="18" spans="1:8" s="164" customFormat="1" ht="21.2" customHeight="1" x14ac:dyDescent="0.25">
      <c r="A18" s="105" t="s">
        <v>318</v>
      </c>
      <c r="B18" s="106">
        <v>0</v>
      </c>
      <c r="C18" s="270">
        <v>0</v>
      </c>
      <c r="D18" s="270">
        <v>0</v>
      </c>
      <c r="E18" s="270">
        <v>0</v>
      </c>
      <c r="F18" s="270">
        <v>0</v>
      </c>
      <c r="G18" s="271">
        <f t="shared" si="1"/>
        <v>0</v>
      </c>
      <c r="H18" s="169"/>
    </row>
    <row r="19" spans="1:8" s="165" customFormat="1" ht="21.2" customHeight="1" x14ac:dyDescent="0.25">
      <c r="A19" s="188" t="s">
        <v>327</v>
      </c>
      <c r="B19" s="189">
        <v>0</v>
      </c>
      <c r="C19" s="189">
        <v>0</v>
      </c>
      <c r="D19" s="189">
        <v>1000001</v>
      </c>
      <c r="E19" s="189">
        <v>1000001</v>
      </c>
      <c r="F19" s="189">
        <v>1000001</v>
      </c>
      <c r="G19" s="271">
        <f t="shared" si="1"/>
        <v>0</v>
      </c>
      <c r="H19" s="170"/>
    </row>
    <row r="20" spans="1:8" s="165" customFormat="1" ht="21.2" customHeight="1" x14ac:dyDescent="0.25">
      <c r="A20" s="188" t="s">
        <v>328</v>
      </c>
      <c r="B20" s="189">
        <v>2000000</v>
      </c>
      <c r="C20" s="189">
        <v>2000000</v>
      </c>
      <c r="D20" s="189">
        <v>2000000</v>
      </c>
      <c r="E20" s="189">
        <v>2000000</v>
      </c>
      <c r="F20" s="189">
        <v>2000000</v>
      </c>
      <c r="G20" s="271">
        <f t="shared" si="1"/>
        <v>0</v>
      </c>
      <c r="H20" s="170"/>
    </row>
    <row r="21" spans="1:8" s="164" customFormat="1" ht="23.25" customHeight="1" x14ac:dyDescent="0.25">
      <c r="A21" s="103" t="s">
        <v>265</v>
      </c>
      <c r="B21" s="104"/>
      <c r="C21" s="271"/>
      <c r="D21" s="271"/>
      <c r="E21" s="271"/>
      <c r="F21" s="271"/>
      <c r="G21" s="271">
        <f t="shared" si="1"/>
        <v>0</v>
      </c>
      <c r="H21" s="169"/>
    </row>
    <row r="22" spans="1:8" s="165" customFormat="1" ht="22.7" customHeight="1" x14ac:dyDescent="0.25">
      <c r="A22" s="107" t="s">
        <v>263</v>
      </c>
      <c r="B22" s="108">
        <f>B23</f>
        <v>5316875</v>
      </c>
      <c r="C22" s="108">
        <f>C23</f>
        <v>15865511</v>
      </c>
      <c r="D22" s="108">
        <f>D23</f>
        <v>17318511</v>
      </c>
      <c r="E22" s="108">
        <f>E23</f>
        <v>17318511</v>
      </c>
      <c r="F22" s="108">
        <f>F23</f>
        <v>17318511</v>
      </c>
      <c r="G22" s="271">
        <f t="shared" si="1"/>
        <v>0</v>
      </c>
      <c r="H22" s="170"/>
    </row>
    <row r="23" spans="1:8" s="165" customFormat="1" ht="19.5" customHeight="1" x14ac:dyDescent="0.25">
      <c r="A23" s="109" t="s">
        <v>296</v>
      </c>
      <c r="B23" s="110">
        <f>B24+B25+B26+B27+B31</f>
        <v>5316875</v>
      </c>
      <c r="C23" s="110">
        <f>C24+C25+C26+C27+C31+C28</f>
        <v>15865511</v>
      </c>
      <c r="D23" s="110">
        <f>D24+D25+D26+D27+D31+D28+D29+D30</f>
        <v>17318511</v>
      </c>
      <c r="E23" s="110">
        <f>E24+E25+E26+E27+E31+E28+E29+E30</f>
        <v>17318511</v>
      </c>
      <c r="F23" s="110">
        <f>F24+F25+F26+F27+F31+F28+F29+F30</f>
        <v>17318511</v>
      </c>
      <c r="G23" s="271">
        <f t="shared" si="1"/>
        <v>0</v>
      </c>
      <c r="H23" s="170"/>
    </row>
    <row r="24" spans="1:8" s="165" customFormat="1" ht="15" customHeight="1" x14ac:dyDescent="0.25">
      <c r="A24" s="111" t="s">
        <v>319</v>
      </c>
      <c r="B24" s="112">
        <v>314112</v>
      </c>
      <c r="C24" s="112">
        <v>314112</v>
      </c>
      <c r="D24" s="112">
        <v>314112</v>
      </c>
      <c r="E24" s="112">
        <v>314112</v>
      </c>
      <c r="F24" s="112">
        <v>314112</v>
      </c>
      <c r="G24" s="271">
        <f t="shared" si="1"/>
        <v>0</v>
      </c>
      <c r="H24" s="170"/>
    </row>
    <row r="25" spans="1:8" s="165" customFormat="1" ht="26.25" customHeight="1" x14ac:dyDescent="0.25">
      <c r="A25" s="314" t="s">
        <v>363</v>
      </c>
      <c r="B25" s="112">
        <v>0</v>
      </c>
      <c r="C25" s="112">
        <v>1580622</v>
      </c>
      <c r="D25" s="112">
        <v>1580622</v>
      </c>
      <c r="E25" s="112">
        <v>1580622</v>
      </c>
      <c r="F25" s="112">
        <v>1580622</v>
      </c>
      <c r="G25" s="271">
        <f t="shared" si="1"/>
        <v>0</v>
      </c>
      <c r="H25" s="170"/>
    </row>
    <row r="26" spans="1:8" s="165" customFormat="1" ht="30.75" customHeight="1" x14ac:dyDescent="0.25">
      <c r="A26" s="111" t="s">
        <v>364</v>
      </c>
      <c r="B26" s="112">
        <v>0</v>
      </c>
      <c r="C26" s="112">
        <v>8956854</v>
      </c>
      <c r="D26" s="112">
        <v>8956854</v>
      </c>
      <c r="E26" s="112">
        <v>8956854</v>
      </c>
      <c r="F26" s="112">
        <v>8956854</v>
      </c>
      <c r="G26" s="271">
        <f t="shared" si="1"/>
        <v>0</v>
      </c>
      <c r="H26" s="170"/>
    </row>
    <row r="27" spans="1:8" s="165" customFormat="1" ht="30" customHeight="1" x14ac:dyDescent="0.25">
      <c r="A27" s="111" t="s">
        <v>320</v>
      </c>
      <c r="B27" s="112">
        <v>4034832</v>
      </c>
      <c r="C27" s="112">
        <v>4034832</v>
      </c>
      <c r="D27" s="112">
        <v>4034832</v>
      </c>
      <c r="E27" s="112">
        <v>4034832</v>
      </c>
      <c r="F27" s="112">
        <v>4034832</v>
      </c>
      <c r="G27" s="271">
        <f t="shared" si="1"/>
        <v>0</v>
      </c>
      <c r="H27" s="170"/>
    </row>
    <row r="28" spans="1:8" s="165" customFormat="1" ht="30" customHeight="1" x14ac:dyDescent="0.25">
      <c r="A28" s="111" t="s">
        <v>343</v>
      </c>
      <c r="B28" s="112">
        <v>0</v>
      </c>
      <c r="C28" s="112">
        <v>0</v>
      </c>
      <c r="D28" s="112">
        <v>0</v>
      </c>
      <c r="E28" s="112">
        <v>0</v>
      </c>
      <c r="F28" s="112">
        <v>0</v>
      </c>
      <c r="G28" s="271">
        <f t="shared" si="1"/>
        <v>0</v>
      </c>
      <c r="H28" s="170"/>
    </row>
    <row r="29" spans="1:8" s="165" customFormat="1" ht="30" customHeight="1" x14ac:dyDescent="0.25">
      <c r="A29" s="111" t="s">
        <v>374</v>
      </c>
      <c r="B29" s="112"/>
      <c r="C29" s="112"/>
      <c r="D29" s="112">
        <v>393000</v>
      </c>
      <c r="E29" s="112">
        <v>393000</v>
      </c>
      <c r="F29" s="112">
        <v>393000</v>
      </c>
      <c r="G29" s="271">
        <f t="shared" si="1"/>
        <v>0</v>
      </c>
      <c r="H29" s="170"/>
    </row>
    <row r="30" spans="1:8" s="165" customFormat="1" ht="30" customHeight="1" x14ac:dyDescent="0.25">
      <c r="A30" s="111" t="s">
        <v>375</v>
      </c>
      <c r="B30" s="112"/>
      <c r="C30" s="112"/>
      <c r="D30" s="112">
        <v>1060000</v>
      </c>
      <c r="E30" s="112">
        <v>1060000</v>
      </c>
      <c r="F30" s="112">
        <v>1060000</v>
      </c>
      <c r="G30" s="271">
        <f t="shared" si="1"/>
        <v>0</v>
      </c>
      <c r="H30" s="170"/>
    </row>
    <row r="31" spans="1:8" s="165" customFormat="1" ht="31.7" customHeight="1" x14ac:dyDescent="0.25">
      <c r="A31" s="111" t="s">
        <v>325</v>
      </c>
      <c r="B31" s="112">
        <v>967931</v>
      </c>
      <c r="C31" s="112">
        <f>967931+11160</f>
        <v>979091</v>
      </c>
      <c r="D31" s="112">
        <f>967931+11160</f>
        <v>979091</v>
      </c>
      <c r="E31" s="112">
        <f>967931+11160</f>
        <v>979091</v>
      </c>
      <c r="F31" s="112">
        <f>967931+11160</f>
        <v>979091</v>
      </c>
      <c r="G31" s="271">
        <f t="shared" si="1"/>
        <v>0</v>
      </c>
      <c r="H31" s="170"/>
    </row>
    <row r="32" spans="1:8" s="165" customFormat="1" ht="26.45" customHeight="1" x14ac:dyDescent="0.25">
      <c r="A32" s="107" t="s">
        <v>264</v>
      </c>
      <c r="B32" s="113">
        <f>B33</f>
        <v>30885</v>
      </c>
      <c r="C32" s="176">
        <f>C33</f>
        <v>30885</v>
      </c>
      <c r="D32" s="176">
        <f>D33</f>
        <v>30885</v>
      </c>
      <c r="E32" s="176">
        <f>E33</f>
        <v>30885</v>
      </c>
      <c r="F32" s="176">
        <f>F33</f>
        <v>30885</v>
      </c>
      <c r="G32" s="271">
        <f t="shared" si="1"/>
        <v>0</v>
      </c>
      <c r="H32" s="170"/>
    </row>
    <row r="33" spans="1:8" s="165" customFormat="1" ht="27" customHeight="1" x14ac:dyDescent="0.25">
      <c r="A33" s="109" t="s">
        <v>266</v>
      </c>
      <c r="B33" s="115">
        <v>30885</v>
      </c>
      <c r="C33" s="114">
        <v>30885</v>
      </c>
      <c r="D33" s="114">
        <v>30885</v>
      </c>
      <c r="E33" s="114">
        <v>30885</v>
      </c>
      <c r="F33" s="114">
        <v>30885</v>
      </c>
      <c r="G33" s="271">
        <f t="shared" si="1"/>
        <v>0</v>
      </c>
      <c r="H33" s="170"/>
    </row>
    <row r="34" spans="1:8" s="173" customFormat="1" ht="18" customHeight="1" x14ac:dyDescent="0.25">
      <c r="A34" s="116" t="s">
        <v>97</v>
      </c>
      <c r="B34" s="117">
        <f>B35+B36+B37</f>
        <v>2399591</v>
      </c>
      <c r="C34" s="117">
        <f>C35+C36+C37</f>
        <v>2399591</v>
      </c>
      <c r="D34" s="117">
        <f>D35+D36+D37</f>
        <v>2455354</v>
      </c>
      <c r="E34" s="117">
        <f>E35+E36+E37</f>
        <v>2455354</v>
      </c>
      <c r="F34" s="117">
        <f>F35+F36+F37</f>
        <v>2455354</v>
      </c>
      <c r="G34" s="271">
        <f t="shared" si="1"/>
        <v>0</v>
      </c>
      <c r="H34" s="171"/>
    </row>
    <row r="35" spans="1:8" s="175" customFormat="1" ht="21" customHeight="1" x14ac:dyDescent="0.25">
      <c r="A35" s="55" t="s">
        <v>311</v>
      </c>
      <c r="B35" s="118"/>
      <c r="C35" s="174"/>
      <c r="D35" s="295"/>
      <c r="E35" s="295"/>
      <c r="F35" s="295"/>
      <c r="G35" s="271">
        <f t="shared" si="1"/>
        <v>0</v>
      </c>
      <c r="H35" s="172"/>
    </row>
    <row r="36" spans="1:8" s="175" customFormat="1" ht="17.25" customHeight="1" x14ac:dyDescent="0.25">
      <c r="A36" s="55" t="s">
        <v>96</v>
      </c>
      <c r="B36" s="118"/>
      <c r="C36" s="174"/>
      <c r="D36" s="295"/>
      <c r="E36" s="295"/>
      <c r="F36" s="295"/>
      <c r="G36" s="271">
        <f t="shared" si="1"/>
        <v>0</v>
      </c>
      <c r="H36" s="172"/>
    </row>
    <row r="37" spans="1:8" s="175" customFormat="1" ht="26.25" customHeight="1" x14ac:dyDescent="0.25">
      <c r="A37" s="55" t="s">
        <v>225</v>
      </c>
      <c r="B37" s="118">
        <v>2399591</v>
      </c>
      <c r="C37" s="177">
        <v>2399591</v>
      </c>
      <c r="D37" s="177">
        <f>2399591+55763</f>
        <v>2455354</v>
      </c>
      <c r="E37" s="177">
        <f>2399591+55763</f>
        <v>2455354</v>
      </c>
      <c r="F37" s="177">
        <f>2399591+55763</f>
        <v>2455354</v>
      </c>
      <c r="G37" s="271">
        <f t="shared" si="1"/>
        <v>0</v>
      </c>
      <c r="H37" s="172"/>
    </row>
    <row r="38" spans="1:8" s="192" customFormat="1" ht="31.7" customHeight="1" thickBot="1" x14ac:dyDescent="0.3">
      <c r="A38" s="190" t="s">
        <v>98</v>
      </c>
      <c r="B38" s="336">
        <f>B3+B22+B34+B32</f>
        <v>16866547</v>
      </c>
      <c r="C38" s="336">
        <f>C3+C22+C34+C32</f>
        <v>27513386</v>
      </c>
      <c r="D38" s="336">
        <f>D3+D22+D34+D32</f>
        <v>34026770</v>
      </c>
      <c r="E38" s="336">
        <f>E3+E22+E34+E32</f>
        <v>34206770</v>
      </c>
      <c r="F38" s="336">
        <f>F3+F22+F34+F32</f>
        <v>34206770</v>
      </c>
      <c r="G38" s="271">
        <f t="shared" si="1"/>
        <v>0</v>
      </c>
      <c r="H38" s="191">
        <f>G3+G22+G32+G34</f>
        <v>0</v>
      </c>
    </row>
    <row r="39" spans="1:8" ht="18" customHeight="1" x14ac:dyDescent="0.25">
      <c r="B39" s="337"/>
      <c r="C39" s="337"/>
      <c r="D39" s="337"/>
      <c r="E39" s="337"/>
      <c r="F39" s="337"/>
    </row>
  </sheetData>
  <sheetProtection selectLockedCells="1" selectUnlockedCells="1"/>
  <mergeCells count="1">
    <mergeCell ref="A1:G1"/>
  </mergeCells>
  <phoneticPr fontId="21" type="noConversion"/>
  <printOptions horizontalCentered="1"/>
  <pageMargins left="6.25E-2" right="1.0416666666666666E-2" top="1.0615384615384615" bottom="0.11811023622047245" header="0.19685039370078741" footer="0.51181102362204722"/>
  <pageSetup paperSize="9" firstPageNumber="0" orientation="portrait" r:id="rId1"/>
  <headerFooter alignWithMargins="0">
    <oddHeader>&amp;C&amp;"Times New Roman,Normál"&amp;12 5. melléklet
Az önkormányzat 2018. évi költségvetéséről szóló 3/2019. (III. 14.)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N60"/>
  <sheetViews>
    <sheetView view="pageLayout" zoomScaleNormal="100" zoomScaleSheetLayoutView="89" workbookViewId="0">
      <selection activeCell="Q6" sqref="Q6"/>
    </sheetView>
  </sheetViews>
  <sheetFormatPr defaultColWidth="9.140625" defaultRowHeight="15.75" x14ac:dyDescent="0.25"/>
  <cols>
    <col min="1" max="1" width="13.85546875" style="120" customWidth="1"/>
    <col min="2" max="2" width="11.7109375" style="119" customWidth="1"/>
    <col min="3" max="3" width="11.5703125" style="119" customWidth="1"/>
    <col min="4" max="5" width="12.140625" style="119" customWidth="1"/>
    <col min="6" max="6" width="13.42578125" style="119" customWidth="1"/>
    <col min="7" max="7" width="10.140625" style="119" customWidth="1"/>
    <col min="8" max="8" width="9.7109375" style="120" customWidth="1"/>
    <col min="9" max="9" width="13.140625" style="119" customWidth="1"/>
    <col min="10" max="10" width="11" style="119" customWidth="1"/>
    <col min="11" max="11" width="12.140625" style="119" customWidth="1"/>
    <col min="12" max="12" width="12.5703125" style="119" customWidth="1"/>
    <col min="13" max="13" width="12.28515625" style="119" customWidth="1"/>
    <col min="14" max="14" width="11" style="119" customWidth="1"/>
    <col min="15" max="15" width="9.140625" style="119"/>
    <col min="16" max="16" width="12.28515625" style="119" customWidth="1"/>
    <col min="17" max="16384" width="9.140625" style="119"/>
  </cols>
  <sheetData>
    <row r="2" spans="1:14" ht="15.75" customHeight="1" x14ac:dyDescent="0.25">
      <c r="A2" s="361" t="s">
        <v>361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4" ht="16.5" thickBot="1" x14ac:dyDescent="0.3"/>
    <row r="4" spans="1:14" s="120" customFormat="1" ht="39.75" customHeight="1" x14ac:dyDescent="0.25">
      <c r="A4" s="255" t="s">
        <v>99</v>
      </c>
      <c r="B4" s="37" t="s">
        <v>384</v>
      </c>
      <c r="C4" s="37" t="s">
        <v>385</v>
      </c>
      <c r="D4" s="37" t="s">
        <v>391</v>
      </c>
      <c r="E4" s="37" t="s">
        <v>392</v>
      </c>
      <c r="F4" s="37" t="s">
        <v>393</v>
      </c>
      <c r="G4" s="333" t="s">
        <v>367</v>
      </c>
      <c r="H4" s="256" t="s">
        <v>394</v>
      </c>
      <c r="I4" s="37" t="s">
        <v>384</v>
      </c>
      <c r="J4" s="37" t="s">
        <v>385</v>
      </c>
      <c r="K4" s="37" t="s">
        <v>391</v>
      </c>
      <c r="L4" s="37" t="s">
        <v>392</v>
      </c>
      <c r="M4" s="37" t="s">
        <v>393</v>
      </c>
      <c r="N4" s="333" t="s">
        <v>367</v>
      </c>
    </row>
    <row r="5" spans="1:14" ht="29.25" customHeight="1" x14ac:dyDescent="0.25">
      <c r="A5" s="123" t="s">
        <v>101</v>
      </c>
      <c r="B5" s="97">
        <f>'1.tábla '!B6</f>
        <v>31474348</v>
      </c>
      <c r="C5" s="97">
        <f>'1.tábla '!C6</f>
        <v>31561828</v>
      </c>
      <c r="D5" s="277">
        <f>'1.tábla '!D6</f>
        <v>44660661</v>
      </c>
      <c r="E5" s="277">
        <f>'1.tábla '!E6</f>
        <v>45282961</v>
      </c>
      <c r="F5" s="277">
        <f>'1.tábla '!F6</f>
        <v>47660812</v>
      </c>
      <c r="G5" s="97">
        <f>F5-E5</f>
        <v>2377851</v>
      </c>
      <c r="H5" s="124" t="s">
        <v>90</v>
      </c>
      <c r="I5" s="97">
        <f>'3.tábla '!B6</f>
        <v>11351918</v>
      </c>
      <c r="J5" s="97">
        <f>'3.tábla '!C6</f>
        <v>12486198</v>
      </c>
      <c r="K5" s="277">
        <f>'3.tábla '!D6</f>
        <v>12748689</v>
      </c>
      <c r="L5" s="277">
        <f>'3.tábla '!E6</f>
        <v>13590461</v>
      </c>
      <c r="M5" s="277">
        <f>'3.tábla '!F6</f>
        <v>13590461</v>
      </c>
      <c r="N5" s="125">
        <f>M5-L5</f>
        <v>0</v>
      </c>
    </row>
    <row r="6" spans="1:14" ht="63" x14ac:dyDescent="0.25">
      <c r="A6" s="123" t="s">
        <v>102</v>
      </c>
      <c r="B6" s="97">
        <f>'1.tábla '!B8</f>
        <v>11333000</v>
      </c>
      <c r="C6" s="97">
        <f>'1.tábla '!C8</f>
        <v>11333000</v>
      </c>
      <c r="D6" s="277">
        <f>'1.tábla '!D8</f>
        <v>11333000</v>
      </c>
      <c r="E6" s="277">
        <f>'1.tábla '!E8</f>
        <v>11333000</v>
      </c>
      <c r="F6" s="277">
        <f>'1.tábla '!F8</f>
        <v>11333000</v>
      </c>
      <c r="G6" s="277">
        <f t="shared" ref="G6:G23" si="0">F6-E6</f>
        <v>0</v>
      </c>
      <c r="H6" s="124" t="s">
        <v>334</v>
      </c>
      <c r="I6" s="124">
        <f>'3.tábla '!B7</f>
        <v>2307565</v>
      </c>
      <c r="J6" s="124">
        <f>'3.tábla '!C7</f>
        <v>2217871</v>
      </c>
      <c r="K6" s="124">
        <f>'3.tábla '!D7</f>
        <v>2432047</v>
      </c>
      <c r="L6" s="124">
        <f>'3.tábla '!E7</f>
        <v>2561314</v>
      </c>
      <c r="M6" s="124">
        <f>'3.tábla '!F7</f>
        <v>2561314</v>
      </c>
      <c r="N6" s="125">
        <f t="shared" ref="N6:N23" si="1">M6-L6</f>
        <v>0</v>
      </c>
    </row>
    <row r="7" spans="1:14" ht="31.5" x14ac:dyDescent="0.25">
      <c r="A7" s="126" t="s">
        <v>103</v>
      </c>
      <c r="B7" s="97">
        <f>'1.tábla '!B9</f>
        <v>3140000</v>
      </c>
      <c r="C7" s="97">
        <f>'1.tábla '!C9</f>
        <v>3290000</v>
      </c>
      <c r="D7" s="277">
        <f>'1.tábla '!D9</f>
        <v>4350000</v>
      </c>
      <c r="E7" s="277">
        <f>'1.tábla '!E9</f>
        <v>4350000</v>
      </c>
      <c r="F7" s="277">
        <f>'1.tábla '!F9</f>
        <v>4350000</v>
      </c>
      <c r="G7" s="277">
        <f t="shared" si="0"/>
        <v>0</v>
      </c>
      <c r="H7" s="124" t="s">
        <v>104</v>
      </c>
      <c r="I7" s="97">
        <f>'3.tábla '!B8</f>
        <v>17032982</v>
      </c>
      <c r="J7" s="97">
        <f>'3.tábla '!C8</f>
        <v>17214872</v>
      </c>
      <c r="K7" s="277">
        <f>'3.tábla '!D8</f>
        <v>29585170</v>
      </c>
      <c r="L7" s="277">
        <f>'3.tábla '!E8</f>
        <v>30647470</v>
      </c>
      <c r="M7" s="277">
        <f>'3.tábla '!F8</f>
        <v>30647470</v>
      </c>
      <c r="N7" s="125">
        <f t="shared" si="1"/>
        <v>0</v>
      </c>
    </row>
    <row r="8" spans="1:14" ht="78.75" x14ac:dyDescent="0.25">
      <c r="A8" s="123" t="s">
        <v>105</v>
      </c>
      <c r="B8" s="97"/>
      <c r="C8" s="97"/>
      <c r="D8" s="277"/>
      <c r="E8" s="277"/>
      <c r="F8" s="277"/>
      <c r="G8" s="277">
        <f t="shared" si="0"/>
        <v>0</v>
      </c>
      <c r="H8" s="124" t="s">
        <v>91</v>
      </c>
      <c r="I8" s="97">
        <f>'3.tábla '!B26</f>
        <v>3795000</v>
      </c>
      <c r="J8" s="97">
        <f>'3.tábla '!C26</f>
        <v>3795000</v>
      </c>
      <c r="K8" s="277">
        <f>'3.tábla '!D26</f>
        <v>3795000</v>
      </c>
      <c r="L8" s="277">
        <f>'3.tábla '!E26</f>
        <v>3795000</v>
      </c>
      <c r="M8" s="277">
        <f>'3.tábla '!F26</f>
        <v>3795000</v>
      </c>
      <c r="N8" s="125">
        <f t="shared" si="1"/>
        <v>0</v>
      </c>
    </row>
    <row r="9" spans="1:14" ht="63" x14ac:dyDescent="0.25">
      <c r="A9" s="126"/>
      <c r="B9" s="97"/>
      <c r="C9" s="97"/>
      <c r="D9" s="277"/>
      <c r="E9" s="277"/>
      <c r="F9" s="277"/>
      <c r="G9" s="277">
        <f t="shared" si="0"/>
        <v>0</v>
      </c>
      <c r="H9" s="124" t="s">
        <v>89</v>
      </c>
      <c r="I9" s="97">
        <f>I10+I11+I12+I13</f>
        <v>13095342</v>
      </c>
      <c r="J9" s="97">
        <f>J10+J11+J12+J13</f>
        <v>13205782</v>
      </c>
      <c r="K9" s="277">
        <f>K10+K11+K12+K13</f>
        <v>13013128</v>
      </c>
      <c r="L9" s="277">
        <f>L10+L11+L12+L13</f>
        <v>13013128</v>
      </c>
      <c r="M9" s="277">
        <f>M10+M11+M12+M13</f>
        <v>13013128</v>
      </c>
      <c r="N9" s="125">
        <f t="shared" si="1"/>
        <v>0</v>
      </c>
    </row>
    <row r="10" spans="1:14" ht="78.75" x14ac:dyDescent="0.25">
      <c r="A10" s="126"/>
      <c r="B10" s="97"/>
      <c r="C10" s="97"/>
      <c r="D10" s="277"/>
      <c r="E10" s="277"/>
      <c r="F10" s="277"/>
      <c r="G10" s="277">
        <f t="shared" si="0"/>
        <v>0</v>
      </c>
      <c r="H10" s="124" t="s">
        <v>226</v>
      </c>
      <c r="I10" s="97"/>
      <c r="J10" s="97"/>
      <c r="K10" s="293"/>
      <c r="L10" s="293"/>
      <c r="M10" s="293"/>
      <c r="N10" s="125">
        <f t="shared" si="1"/>
        <v>0</v>
      </c>
    </row>
    <row r="11" spans="1:14" ht="94.5" x14ac:dyDescent="0.25">
      <c r="A11" s="123"/>
      <c r="B11" s="97"/>
      <c r="C11" s="97"/>
      <c r="D11" s="277"/>
      <c r="E11" s="277"/>
      <c r="F11" s="277"/>
      <c r="G11" s="277">
        <f t="shared" si="0"/>
        <v>0</v>
      </c>
      <c r="H11" s="124" t="s">
        <v>335</v>
      </c>
      <c r="I11" s="97">
        <f>'4.tábla'!B3</f>
        <v>12335342</v>
      </c>
      <c r="J11" s="97">
        <f>'4.tábla'!C3</f>
        <v>12335342</v>
      </c>
      <c r="K11" s="277">
        <f>'4.tábla'!D3</f>
        <v>11331288</v>
      </c>
      <c r="L11" s="277">
        <f>'4.tábla'!E3</f>
        <v>11331288</v>
      </c>
      <c r="M11" s="277">
        <f>'4.tábla'!F3</f>
        <v>11331288</v>
      </c>
      <c r="N11" s="125">
        <f t="shared" si="1"/>
        <v>0</v>
      </c>
    </row>
    <row r="12" spans="1:14" ht="94.5" x14ac:dyDescent="0.25">
      <c r="A12" s="127"/>
      <c r="B12" s="97"/>
      <c r="C12" s="97"/>
      <c r="D12" s="277"/>
      <c r="E12" s="277"/>
      <c r="F12" s="277"/>
      <c r="G12" s="277">
        <f t="shared" si="0"/>
        <v>0</v>
      </c>
      <c r="H12" s="124" t="s">
        <v>336</v>
      </c>
      <c r="I12" s="124">
        <f>'4.tábla'!B9</f>
        <v>760000</v>
      </c>
      <c r="J12" s="124">
        <f>'4.tábla'!C9</f>
        <v>760000</v>
      </c>
      <c r="K12" s="124">
        <f>'4.tábla'!D9</f>
        <v>1571400</v>
      </c>
      <c r="L12" s="124">
        <f>'4.tábla'!E9</f>
        <v>1571400</v>
      </c>
      <c r="M12" s="124">
        <f>'4.tábla'!F9</f>
        <v>1571400</v>
      </c>
      <c r="N12" s="125">
        <f t="shared" si="1"/>
        <v>0</v>
      </c>
    </row>
    <row r="13" spans="1:14" ht="141.75" x14ac:dyDescent="0.25">
      <c r="A13" s="123"/>
      <c r="B13" s="97"/>
      <c r="C13" s="97"/>
      <c r="D13" s="277"/>
      <c r="E13" s="277"/>
      <c r="F13" s="277"/>
      <c r="G13" s="277">
        <f t="shared" si="0"/>
        <v>0</v>
      </c>
      <c r="H13" s="124" t="s">
        <v>337</v>
      </c>
      <c r="I13" s="97"/>
      <c r="J13" s="97">
        <f>'3.tábla '!C37</f>
        <v>110440</v>
      </c>
      <c r="K13" s="277">
        <f>'3.tábla '!D37</f>
        <v>110440</v>
      </c>
      <c r="L13" s="277">
        <f>'3.tábla '!E37</f>
        <v>110440</v>
      </c>
      <c r="M13" s="277">
        <f>'3.tábla '!F37</f>
        <v>110440</v>
      </c>
      <c r="N13" s="125">
        <f t="shared" si="1"/>
        <v>0</v>
      </c>
    </row>
    <row r="14" spans="1:14" ht="18.75" customHeight="1" x14ac:dyDescent="0.25">
      <c r="A14" s="126"/>
      <c r="B14" s="97"/>
      <c r="C14" s="97"/>
      <c r="D14" s="277"/>
      <c r="E14" s="277"/>
      <c r="F14" s="277"/>
      <c r="G14" s="277">
        <f t="shared" si="0"/>
        <v>0</v>
      </c>
      <c r="H14" s="124" t="s">
        <v>221</v>
      </c>
      <c r="I14" s="97">
        <f>'1.tábla '!B26</f>
        <v>7405470</v>
      </c>
      <c r="J14" s="97">
        <f>'1.tábla '!C26</f>
        <v>13264590</v>
      </c>
      <c r="K14" s="277">
        <f>'1.tábla '!D26</f>
        <v>11311491</v>
      </c>
      <c r="L14" s="277">
        <f>'1.tábla '!E26</f>
        <v>9720452</v>
      </c>
      <c r="M14" s="277">
        <f>'1.tábla '!F26</f>
        <v>13340294</v>
      </c>
      <c r="N14" s="125">
        <f t="shared" si="1"/>
        <v>3619842</v>
      </c>
    </row>
    <row r="15" spans="1:14" s="132" customFormat="1" ht="78.75" x14ac:dyDescent="0.25">
      <c r="A15" s="128" t="s">
        <v>106</v>
      </c>
      <c r="B15" s="129">
        <f>SUM(B5:B14)</f>
        <v>45947348</v>
      </c>
      <c r="C15" s="129">
        <f>SUM(C5:C14)</f>
        <v>46184828</v>
      </c>
      <c r="D15" s="129">
        <f>SUM(D5:D14)</f>
        <v>60343661</v>
      </c>
      <c r="E15" s="129">
        <f>SUM(E5:E14)</f>
        <v>60965961</v>
      </c>
      <c r="F15" s="129">
        <f>SUM(F5:F14)</f>
        <v>63343812</v>
      </c>
      <c r="G15" s="277">
        <f t="shared" si="0"/>
        <v>2377851</v>
      </c>
      <c r="H15" s="130" t="s">
        <v>107</v>
      </c>
      <c r="I15" s="129">
        <f>I5+I6+I7+I8+I9+I14</f>
        <v>54988277</v>
      </c>
      <c r="J15" s="129">
        <f>J5+J6+J7+J8+J9+J14</f>
        <v>62184313</v>
      </c>
      <c r="K15" s="129">
        <f>K5+K6+K7+K8+K9+K14</f>
        <v>72885525</v>
      </c>
      <c r="L15" s="129">
        <f>L5+L6+L7+L8+L9+L14</f>
        <v>73327825</v>
      </c>
      <c r="M15" s="129">
        <f>M5+M6+M7+M8+M9+M14</f>
        <v>76947667</v>
      </c>
      <c r="N15" s="125">
        <f>M15-L15</f>
        <v>3619842</v>
      </c>
    </row>
    <row r="16" spans="1:14" s="132" customFormat="1" ht="47.25" x14ac:dyDescent="0.25">
      <c r="A16" s="128" t="s">
        <v>108</v>
      </c>
      <c r="B16" s="129"/>
      <c r="C16" s="129"/>
      <c r="D16" s="129"/>
      <c r="E16" s="129"/>
      <c r="F16" s="129"/>
      <c r="G16" s="277">
        <f t="shared" si="0"/>
        <v>0</v>
      </c>
      <c r="H16" s="130" t="s">
        <v>109</v>
      </c>
      <c r="I16" s="129">
        <f>I15-B15</f>
        <v>9040929</v>
      </c>
      <c r="J16" s="129">
        <f>J15-C15</f>
        <v>15999485</v>
      </c>
      <c r="K16" s="129">
        <f>K15-D15</f>
        <v>12541864</v>
      </c>
      <c r="L16" s="129">
        <f>L15-E15</f>
        <v>12361864</v>
      </c>
      <c r="M16" s="129">
        <f>M15-F15</f>
        <v>13603855</v>
      </c>
      <c r="N16" s="125">
        <f t="shared" si="1"/>
        <v>1241991</v>
      </c>
    </row>
    <row r="17" spans="1:14" s="132" customFormat="1" ht="126" x14ac:dyDescent="0.25">
      <c r="A17" s="128" t="s">
        <v>110</v>
      </c>
      <c r="B17" s="129">
        <f>SUM(B18)</f>
        <v>20000000</v>
      </c>
      <c r="C17" s="129">
        <f>SUM(C18)</f>
        <v>28648541</v>
      </c>
      <c r="D17" s="129">
        <f>SUM(D18)</f>
        <v>28648541</v>
      </c>
      <c r="E17" s="129">
        <f>SUM(E18)</f>
        <v>28648541</v>
      </c>
      <c r="F17" s="129">
        <f>SUM(F18)</f>
        <v>28648541</v>
      </c>
      <c r="G17" s="277">
        <f t="shared" si="0"/>
        <v>0</v>
      </c>
      <c r="H17" s="130" t="s">
        <v>111</v>
      </c>
      <c r="I17" s="129">
        <f>I18+I19+I20+I21</f>
        <v>2399591</v>
      </c>
      <c r="J17" s="129">
        <f>J18+J19+J20+J21</f>
        <v>2399591</v>
      </c>
      <c r="K17" s="129">
        <f>K18+K19+K20+K21</f>
        <v>2455354</v>
      </c>
      <c r="L17" s="129">
        <f>L18+L19+L20+L21</f>
        <v>2455354</v>
      </c>
      <c r="M17" s="129">
        <f>M18+M19+M20+M21</f>
        <v>2455354</v>
      </c>
      <c r="N17" s="125">
        <f t="shared" si="1"/>
        <v>0</v>
      </c>
    </row>
    <row r="18" spans="1:14" ht="94.5" x14ac:dyDescent="0.25">
      <c r="A18" s="126" t="s">
        <v>112</v>
      </c>
      <c r="B18" s="97">
        <f>'2.tábla'!B72</f>
        <v>20000000</v>
      </c>
      <c r="C18" s="97">
        <f>'2.tábla'!C72</f>
        <v>28648541</v>
      </c>
      <c r="D18" s="277">
        <f>'2.tábla'!D72</f>
        <v>28648541</v>
      </c>
      <c r="E18" s="277">
        <f>'2.tábla'!E72</f>
        <v>28648541</v>
      </c>
      <c r="F18" s="277">
        <f>'2.tábla'!F72</f>
        <v>28648541</v>
      </c>
      <c r="G18" s="277">
        <f t="shared" si="0"/>
        <v>0</v>
      </c>
      <c r="H18" s="124" t="s">
        <v>231</v>
      </c>
      <c r="I18" s="97">
        <f>'5.tábla'!B37</f>
        <v>2399591</v>
      </c>
      <c r="J18" s="97">
        <f>'5.tábla'!C37</f>
        <v>2399591</v>
      </c>
      <c r="K18" s="277">
        <f>'5.tábla'!D37</f>
        <v>2455354</v>
      </c>
      <c r="L18" s="277">
        <f>'5.tábla'!E37</f>
        <v>2455354</v>
      </c>
      <c r="M18" s="277">
        <f>'5.tábla'!F37</f>
        <v>2455354</v>
      </c>
      <c r="N18" s="125">
        <f t="shared" si="1"/>
        <v>0</v>
      </c>
    </row>
    <row r="19" spans="1:14" s="132" customFormat="1" ht="78.75" x14ac:dyDescent="0.25">
      <c r="A19" s="128" t="s">
        <v>113</v>
      </c>
      <c r="B19" s="130">
        <f>SUM(B20:B22)</f>
        <v>907476</v>
      </c>
      <c r="C19" s="130">
        <f>SUM(C20:C22)</f>
        <v>907476</v>
      </c>
      <c r="D19" s="130">
        <f>SUM(D20:D22)</f>
        <v>963239</v>
      </c>
      <c r="E19" s="130">
        <f>SUM(E20:E22)</f>
        <v>963239</v>
      </c>
      <c r="F19" s="130">
        <f>SUM(F20:F22)</f>
        <v>2205230</v>
      </c>
      <c r="G19" s="277">
        <f t="shared" si="0"/>
        <v>1241991</v>
      </c>
      <c r="H19" s="124" t="s">
        <v>313</v>
      </c>
      <c r="I19" s="97"/>
      <c r="J19" s="129"/>
      <c r="K19" s="294"/>
      <c r="L19" s="294"/>
      <c r="M19" s="294"/>
      <c r="N19" s="125">
        <f t="shared" si="1"/>
        <v>0</v>
      </c>
    </row>
    <row r="20" spans="1:14" ht="31.5" x14ac:dyDescent="0.25">
      <c r="A20" s="126" t="s">
        <v>298</v>
      </c>
      <c r="B20" s="97">
        <f>'2.tábla'!B75</f>
        <v>0</v>
      </c>
      <c r="C20" s="97">
        <f>'2.tábla'!C75</f>
        <v>0</v>
      </c>
      <c r="D20" s="277">
        <f>'2.tábla'!D75</f>
        <v>0</v>
      </c>
      <c r="E20" s="277"/>
      <c r="F20" s="277"/>
      <c r="G20" s="277">
        <f t="shared" si="0"/>
        <v>0</v>
      </c>
      <c r="H20" s="124" t="s">
        <v>233</v>
      </c>
      <c r="I20" s="97"/>
      <c r="J20" s="97"/>
      <c r="K20" s="293"/>
      <c r="L20" s="293"/>
      <c r="M20" s="293"/>
      <c r="N20" s="125">
        <f t="shared" si="1"/>
        <v>0</v>
      </c>
    </row>
    <row r="21" spans="1:14" ht="18" customHeight="1" x14ac:dyDescent="0.25">
      <c r="A21" s="126" t="s">
        <v>312</v>
      </c>
      <c r="B21" s="97"/>
      <c r="C21" s="97"/>
      <c r="D21" s="277"/>
      <c r="E21" s="277"/>
      <c r="F21" s="277"/>
      <c r="G21" s="277">
        <f t="shared" si="0"/>
        <v>0</v>
      </c>
      <c r="H21" s="124" t="s">
        <v>290</v>
      </c>
      <c r="I21" s="124">
        <f>'5.tábla'!B36</f>
        <v>0</v>
      </c>
      <c r="J21" s="97"/>
      <c r="K21" s="293"/>
      <c r="L21" s="293"/>
      <c r="M21" s="293"/>
      <c r="N21" s="125">
        <f t="shared" si="1"/>
        <v>0</v>
      </c>
    </row>
    <row r="22" spans="1:14" ht="63" x14ac:dyDescent="0.25">
      <c r="A22" s="126" t="s">
        <v>232</v>
      </c>
      <c r="B22" s="97">
        <f>'2.tábla'!B76</f>
        <v>907476</v>
      </c>
      <c r="C22" s="97">
        <f>'2.tábla'!C76</f>
        <v>907476</v>
      </c>
      <c r="D22" s="277">
        <f>'2.tábla'!D76</f>
        <v>963239</v>
      </c>
      <c r="E22" s="277">
        <f>'2.tábla'!E76</f>
        <v>963239</v>
      </c>
      <c r="F22" s="277">
        <f>'2.tábla'!F76</f>
        <v>2205230</v>
      </c>
      <c r="G22" s="277">
        <f t="shared" si="0"/>
        <v>1241991</v>
      </c>
      <c r="H22" s="124"/>
      <c r="I22" s="97"/>
      <c r="J22" s="97"/>
      <c r="K22" s="293"/>
      <c r="L22" s="293"/>
      <c r="M22" s="293"/>
      <c r="N22" s="125">
        <f t="shared" si="1"/>
        <v>0</v>
      </c>
    </row>
    <row r="23" spans="1:14" ht="48" thickBot="1" x14ac:dyDescent="0.3">
      <c r="A23" s="133" t="s">
        <v>114</v>
      </c>
      <c r="B23" s="99">
        <f>B15+B17+B19</f>
        <v>66854824</v>
      </c>
      <c r="C23" s="99">
        <f>C15+C17+C19</f>
        <v>75740845</v>
      </c>
      <c r="D23" s="99">
        <f>D15+D17+D19</f>
        <v>89955441</v>
      </c>
      <c r="E23" s="99">
        <f>E15+E17+E19</f>
        <v>90577741</v>
      </c>
      <c r="F23" s="99">
        <f>F15+F17+F19</f>
        <v>94197583</v>
      </c>
      <c r="G23" s="129">
        <f t="shared" si="0"/>
        <v>3619842</v>
      </c>
      <c r="H23" s="134" t="s">
        <v>115</v>
      </c>
      <c r="I23" s="99">
        <f>I17+I15</f>
        <v>57387868</v>
      </c>
      <c r="J23" s="99">
        <f>J17+J15</f>
        <v>64583904</v>
      </c>
      <c r="K23" s="99">
        <f>K17+K15</f>
        <v>75340879</v>
      </c>
      <c r="L23" s="99">
        <f>L17+L15</f>
        <v>75783179</v>
      </c>
      <c r="M23" s="99">
        <f>M17+M15</f>
        <v>79403021</v>
      </c>
      <c r="N23" s="131">
        <f t="shared" si="1"/>
        <v>3619842</v>
      </c>
    </row>
    <row r="24" spans="1:14" x14ac:dyDescent="0.25">
      <c r="N24" s="125">
        <f t="shared" ref="N24" si="2">L24-K24</f>
        <v>0</v>
      </c>
    </row>
    <row r="25" spans="1:14" ht="15.75" customHeight="1" x14ac:dyDescent="0.25">
      <c r="A25" s="361" t="s">
        <v>348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</row>
    <row r="26" spans="1:14" ht="16.5" thickBot="1" x14ac:dyDescent="0.3"/>
    <row r="27" spans="1:14" s="120" customFormat="1" ht="63" x14ac:dyDescent="0.25">
      <c r="A27" s="121" t="s">
        <v>116</v>
      </c>
      <c r="B27" s="37" t="s">
        <v>352</v>
      </c>
      <c r="C27" s="51" t="s">
        <v>321</v>
      </c>
      <c r="D27" s="282" t="s">
        <v>370</v>
      </c>
      <c r="E27" s="321"/>
      <c r="F27" s="331"/>
      <c r="G27" s="51" t="s">
        <v>322</v>
      </c>
      <c r="H27" s="122" t="s">
        <v>117</v>
      </c>
      <c r="I27" s="37" t="s">
        <v>352</v>
      </c>
      <c r="J27" s="51" t="s">
        <v>321</v>
      </c>
      <c r="K27" s="284" t="s">
        <v>370</v>
      </c>
      <c r="L27" s="284"/>
      <c r="M27" s="284"/>
      <c r="N27" s="52" t="s">
        <v>322</v>
      </c>
    </row>
    <row r="28" spans="1:14" ht="94.5" x14ac:dyDescent="0.25">
      <c r="A28" s="123" t="s">
        <v>118</v>
      </c>
      <c r="B28" s="97">
        <f>'2.tábla'!B21</f>
        <v>5000000</v>
      </c>
      <c r="C28" s="97">
        <f>'2.tábla'!C21</f>
        <v>13956854</v>
      </c>
      <c r="D28" s="277">
        <f>'2.tábla'!D21</f>
        <v>13956854</v>
      </c>
      <c r="E28" s="277">
        <f>'2.tábla'!E21</f>
        <v>13956854</v>
      </c>
      <c r="F28" s="277">
        <f>'2.tábla'!F21</f>
        <v>13956854</v>
      </c>
      <c r="G28" s="97">
        <f>F28-E28</f>
        <v>0</v>
      </c>
      <c r="H28" s="124" t="s">
        <v>119</v>
      </c>
      <c r="I28" s="97">
        <f>'5.tábla'!B3</f>
        <v>9119196</v>
      </c>
      <c r="J28" s="97">
        <f>'5.tábla'!C3</f>
        <v>9217399</v>
      </c>
      <c r="K28" s="277">
        <f>'5.tábla'!D3</f>
        <v>14222020</v>
      </c>
      <c r="L28" s="277">
        <f>'5.tábla'!E3</f>
        <v>14402020</v>
      </c>
      <c r="M28" s="277">
        <f>'5.tábla'!F3</f>
        <v>14402020</v>
      </c>
      <c r="N28" s="125">
        <f>M28-L28</f>
        <v>0</v>
      </c>
    </row>
    <row r="29" spans="1:14" ht="78.75" x14ac:dyDescent="0.25">
      <c r="A29" s="126" t="s">
        <v>120</v>
      </c>
      <c r="B29" s="97">
        <f>'2.tábla'!B56</f>
        <v>0</v>
      </c>
      <c r="C29" s="97">
        <f>'2.tábla'!C56</f>
        <v>0</v>
      </c>
      <c r="D29" s="277">
        <f>'2.tábla'!D56</f>
        <v>0</v>
      </c>
      <c r="E29" s="277">
        <f>'2.tábla'!E56</f>
        <v>0</v>
      </c>
      <c r="F29" s="277">
        <f>'2.tábla'!F56</f>
        <v>0</v>
      </c>
      <c r="G29" s="277">
        <f t="shared" ref="G29:G43" si="3">F29-E29</f>
        <v>0</v>
      </c>
      <c r="H29" s="124" t="s">
        <v>121</v>
      </c>
      <c r="I29" s="97"/>
      <c r="J29" s="97"/>
      <c r="K29" s="293"/>
      <c r="L29" s="293"/>
      <c r="M29" s="293"/>
      <c r="N29" s="125">
        <f t="shared" ref="N29:N43" si="4">M29-L29</f>
        <v>0</v>
      </c>
    </row>
    <row r="30" spans="1:14" ht="63" x14ac:dyDescent="0.25">
      <c r="A30" s="126" t="s">
        <v>122</v>
      </c>
      <c r="B30" s="97">
        <f>'2.tábla'!B65</f>
        <v>0</v>
      </c>
      <c r="C30" s="97">
        <f>'2.tábla'!C65</f>
        <v>0</v>
      </c>
      <c r="D30" s="277">
        <f>'2.tábla'!D65</f>
        <v>3000000</v>
      </c>
      <c r="E30" s="277">
        <f>'2.tábla'!E65</f>
        <v>3000000</v>
      </c>
      <c r="F30" s="277">
        <f>'2.tábla'!F65</f>
        <v>3000000</v>
      </c>
      <c r="G30" s="277">
        <f t="shared" si="3"/>
        <v>0</v>
      </c>
      <c r="H30" s="124" t="s">
        <v>123</v>
      </c>
      <c r="I30" s="97">
        <f>'5.tábla'!B22</f>
        <v>5316875</v>
      </c>
      <c r="J30" s="97">
        <f>'5.tábla'!C22</f>
        <v>15865511</v>
      </c>
      <c r="K30" s="277">
        <f>'5.tábla'!D22</f>
        <v>17318511</v>
      </c>
      <c r="L30" s="277">
        <f>'5.tábla'!E22</f>
        <v>17318511</v>
      </c>
      <c r="M30" s="277">
        <f>'5.tábla'!F22</f>
        <v>17318511</v>
      </c>
      <c r="N30" s="125">
        <f t="shared" si="4"/>
        <v>0</v>
      </c>
    </row>
    <row r="31" spans="1:14" ht="63" x14ac:dyDescent="0.25">
      <c r="A31" s="126"/>
      <c r="B31" s="97"/>
      <c r="C31" s="97"/>
      <c r="D31" s="277"/>
      <c r="E31" s="277"/>
      <c r="F31" s="277"/>
      <c r="G31" s="277">
        <f t="shared" si="3"/>
        <v>0</v>
      </c>
      <c r="H31" s="124" t="s">
        <v>124</v>
      </c>
      <c r="I31" s="97">
        <f>I32+I33+I34+I35</f>
        <v>30885</v>
      </c>
      <c r="J31" s="97">
        <f>J32+J33+J34+J35</f>
        <v>30885</v>
      </c>
      <c r="K31" s="277">
        <f>K32+K33+K34+K35</f>
        <v>30885</v>
      </c>
      <c r="L31" s="277">
        <f>L32+L33+L34+L35</f>
        <v>30885</v>
      </c>
      <c r="M31" s="277">
        <f>M32+M33+M34+M35</f>
        <v>30885</v>
      </c>
      <c r="N31" s="125">
        <f t="shared" si="4"/>
        <v>0</v>
      </c>
    </row>
    <row r="32" spans="1:14" ht="110.25" x14ac:dyDescent="0.25">
      <c r="A32" s="126"/>
      <c r="B32" s="97"/>
      <c r="C32" s="97"/>
      <c r="D32" s="277"/>
      <c r="E32" s="277"/>
      <c r="F32" s="277"/>
      <c r="G32" s="277">
        <f t="shared" si="3"/>
        <v>0</v>
      </c>
      <c r="H32" s="124" t="s">
        <v>125</v>
      </c>
      <c r="I32" s="97"/>
      <c r="J32" s="97"/>
      <c r="K32" s="293"/>
      <c r="L32" s="293"/>
      <c r="M32" s="293"/>
      <c r="N32" s="125">
        <f t="shared" si="4"/>
        <v>0</v>
      </c>
    </row>
    <row r="33" spans="1:14" ht="27" customHeight="1" x14ac:dyDescent="0.25">
      <c r="A33" s="126"/>
      <c r="B33" s="97"/>
      <c r="C33" s="97"/>
      <c r="D33" s="277"/>
      <c r="E33" s="277"/>
      <c r="F33" s="277"/>
      <c r="G33" s="277">
        <f t="shared" si="3"/>
        <v>0</v>
      </c>
      <c r="H33" s="135" t="s">
        <v>126</v>
      </c>
      <c r="I33" s="97">
        <f>'5.tábla'!B33</f>
        <v>30885</v>
      </c>
      <c r="J33" s="97">
        <f>'5.tábla'!C33</f>
        <v>30885</v>
      </c>
      <c r="K33" s="277">
        <f>'5.tábla'!D33</f>
        <v>30885</v>
      </c>
      <c r="L33" s="277">
        <f>'5.tábla'!E33</f>
        <v>30885</v>
      </c>
      <c r="M33" s="277">
        <f>'5.tábla'!F33</f>
        <v>30885</v>
      </c>
      <c r="N33" s="125">
        <f t="shared" si="4"/>
        <v>0</v>
      </c>
    </row>
    <row r="34" spans="1:14" ht="173.25" x14ac:dyDescent="0.25">
      <c r="A34" s="126"/>
      <c r="B34" s="97"/>
      <c r="C34" s="97"/>
      <c r="D34" s="277"/>
      <c r="E34" s="277"/>
      <c r="F34" s="277"/>
      <c r="G34" s="277">
        <f t="shared" si="3"/>
        <v>0</v>
      </c>
      <c r="H34" s="124" t="s">
        <v>234</v>
      </c>
      <c r="I34" s="97"/>
      <c r="J34" s="97"/>
      <c r="K34" s="293"/>
      <c r="L34" s="293"/>
      <c r="M34" s="293"/>
      <c r="N34" s="125">
        <f t="shared" si="4"/>
        <v>0</v>
      </c>
    </row>
    <row r="35" spans="1:14" ht="173.25" x14ac:dyDescent="0.25">
      <c r="A35" s="126"/>
      <c r="B35" s="97"/>
      <c r="C35" s="97"/>
      <c r="D35" s="277"/>
      <c r="E35" s="277"/>
      <c r="F35" s="277"/>
      <c r="G35" s="277">
        <f t="shared" si="3"/>
        <v>0</v>
      </c>
      <c r="H35" s="124" t="s">
        <v>127</v>
      </c>
      <c r="I35" s="97"/>
      <c r="J35" s="97"/>
      <c r="K35" s="293"/>
      <c r="L35" s="293"/>
      <c r="M35" s="293"/>
      <c r="N35" s="125">
        <f t="shared" si="4"/>
        <v>0</v>
      </c>
    </row>
    <row r="36" spans="1:14" s="132" customFormat="1" ht="94.5" x14ac:dyDescent="0.25">
      <c r="A36" s="128" t="s">
        <v>128</v>
      </c>
      <c r="B36" s="129">
        <f>SUM(B28:B34)</f>
        <v>5000000</v>
      </c>
      <c r="C36" s="129">
        <f>SUM(C28:C34)</f>
        <v>13956854</v>
      </c>
      <c r="D36" s="129">
        <f>SUM(D28:D34)</f>
        <v>16956854</v>
      </c>
      <c r="E36" s="129">
        <f>SUM(E28:E34)</f>
        <v>16956854</v>
      </c>
      <c r="F36" s="129">
        <f>SUM(F28:F34)</f>
        <v>16956854</v>
      </c>
      <c r="G36" s="277">
        <f t="shared" si="3"/>
        <v>0</v>
      </c>
      <c r="H36" s="130" t="s">
        <v>129</v>
      </c>
      <c r="I36" s="129">
        <f>SUM(I28:I31)</f>
        <v>14466956</v>
      </c>
      <c r="J36" s="129">
        <f>SUM(J28:J31)</f>
        <v>25113795</v>
      </c>
      <c r="K36" s="129">
        <f>SUM(K28:K31)</f>
        <v>31571416</v>
      </c>
      <c r="L36" s="129">
        <f>SUM(L28:L31)</f>
        <v>31751416</v>
      </c>
      <c r="M36" s="129">
        <f>SUM(M28:M31)</f>
        <v>31751416</v>
      </c>
      <c r="N36" s="125">
        <f t="shared" si="4"/>
        <v>0</v>
      </c>
    </row>
    <row r="37" spans="1:14" s="132" customFormat="1" ht="63" x14ac:dyDescent="0.25">
      <c r="A37" s="128" t="s">
        <v>130</v>
      </c>
      <c r="B37" s="129">
        <v>-9466956</v>
      </c>
      <c r="C37" s="129">
        <v>-9466956</v>
      </c>
      <c r="D37" s="129">
        <v>-9466956</v>
      </c>
      <c r="E37" s="129">
        <v>-9466956</v>
      </c>
      <c r="F37" s="129">
        <v>-9466956</v>
      </c>
      <c r="G37" s="277">
        <f t="shared" si="3"/>
        <v>0</v>
      </c>
      <c r="H37" s="130" t="s">
        <v>132</v>
      </c>
      <c r="I37" s="129">
        <f>I36-B36</f>
        <v>9466956</v>
      </c>
      <c r="J37" s="129">
        <f>J36-C36</f>
        <v>11156941</v>
      </c>
      <c r="K37" s="129">
        <f>K36-D36</f>
        <v>14614562</v>
      </c>
      <c r="L37" s="129">
        <f>L36-E36</f>
        <v>14794562</v>
      </c>
      <c r="M37" s="129">
        <f>M36-F36</f>
        <v>14794562</v>
      </c>
      <c r="N37" s="125">
        <f t="shared" si="4"/>
        <v>0</v>
      </c>
    </row>
    <row r="38" spans="1:14" s="132" customFormat="1" ht="126" x14ac:dyDescent="0.25">
      <c r="A38" s="128" t="s">
        <v>133</v>
      </c>
      <c r="B38" s="129">
        <f>SUM(B39)</f>
        <v>0</v>
      </c>
      <c r="C38" s="129">
        <f>SUM(C39)</f>
        <v>0</v>
      </c>
      <c r="D38" s="129"/>
      <c r="E38" s="129"/>
      <c r="F38" s="129"/>
      <c r="G38" s="277">
        <f t="shared" si="3"/>
        <v>0</v>
      </c>
      <c r="H38" s="130" t="s">
        <v>134</v>
      </c>
      <c r="I38" s="129">
        <f>SUM(I39:I41)</f>
        <v>0</v>
      </c>
      <c r="J38" s="129">
        <f>SUM(J39:J41)</f>
        <v>0</v>
      </c>
      <c r="K38" s="129">
        <f>SUM(K39:K41)</f>
        <v>0</v>
      </c>
      <c r="L38" s="294"/>
      <c r="M38" s="294"/>
      <c r="N38" s="125">
        <f t="shared" si="4"/>
        <v>0</v>
      </c>
    </row>
    <row r="39" spans="1:14" ht="78.75" x14ac:dyDescent="0.25">
      <c r="A39" s="126" t="s">
        <v>135</v>
      </c>
      <c r="B39" s="97">
        <f>'2.tábla'!B73</f>
        <v>0</v>
      </c>
      <c r="C39" s="97">
        <f>'2.tábla'!C73</f>
        <v>0</v>
      </c>
      <c r="D39" s="277"/>
      <c r="E39" s="277"/>
      <c r="F39" s="277"/>
      <c r="G39" s="277">
        <f t="shared" si="3"/>
        <v>0</v>
      </c>
      <c r="H39" s="124" t="s">
        <v>136</v>
      </c>
      <c r="I39" s="97"/>
      <c r="J39" s="97"/>
      <c r="K39" s="293"/>
      <c r="L39" s="293"/>
      <c r="M39" s="293"/>
      <c r="N39" s="125">
        <f t="shared" si="4"/>
        <v>0</v>
      </c>
    </row>
    <row r="40" spans="1:14" ht="94.5" x14ac:dyDescent="0.25">
      <c r="A40" s="128" t="s">
        <v>137</v>
      </c>
      <c r="B40" s="129">
        <f>SUM(B41:B42)</f>
        <v>0</v>
      </c>
      <c r="C40" s="129">
        <f>SUM(C41:C42)</f>
        <v>0</v>
      </c>
      <c r="D40" s="129"/>
      <c r="E40" s="129"/>
      <c r="F40" s="129"/>
      <c r="G40" s="277">
        <f t="shared" si="3"/>
        <v>0</v>
      </c>
      <c r="H40" s="124" t="s">
        <v>138</v>
      </c>
      <c r="I40" s="97"/>
      <c r="J40" s="97"/>
      <c r="K40" s="293"/>
      <c r="L40" s="293"/>
      <c r="M40" s="293"/>
      <c r="N40" s="125">
        <f t="shared" si="4"/>
        <v>0</v>
      </c>
    </row>
    <row r="41" spans="1:14" ht="94.5" x14ac:dyDescent="0.25">
      <c r="A41" s="126" t="s">
        <v>139</v>
      </c>
      <c r="B41" s="97"/>
      <c r="C41" s="97"/>
      <c r="D41" s="277"/>
      <c r="E41" s="277"/>
      <c r="F41" s="277"/>
      <c r="G41" s="277">
        <f t="shared" si="3"/>
        <v>0</v>
      </c>
      <c r="H41" s="124" t="s">
        <v>230</v>
      </c>
      <c r="I41" s="97"/>
      <c r="J41" s="97"/>
      <c r="K41" s="293"/>
      <c r="L41" s="293"/>
      <c r="M41" s="293"/>
      <c r="N41" s="125">
        <f t="shared" si="4"/>
        <v>0</v>
      </c>
    </row>
    <row r="42" spans="1:14" x14ac:dyDescent="0.25">
      <c r="A42" s="126" t="s">
        <v>140</v>
      </c>
      <c r="B42" s="97"/>
      <c r="C42" s="97"/>
      <c r="D42" s="277"/>
      <c r="E42" s="277"/>
      <c r="F42" s="277"/>
      <c r="G42" s="277">
        <f t="shared" si="3"/>
        <v>0</v>
      </c>
      <c r="H42" s="124"/>
      <c r="I42" s="97"/>
      <c r="J42" s="97"/>
      <c r="K42" s="293"/>
      <c r="L42" s="293"/>
      <c r="M42" s="293"/>
      <c r="N42" s="125">
        <f t="shared" si="4"/>
        <v>0</v>
      </c>
    </row>
    <row r="43" spans="1:14" s="132" customFormat="1" ht="63.75" thickBot="1" x14ac:dyDescent="0.3">
      <c r="A43" s="133" t="s">
        <v>141</v>
      </c>
      <c r="B43" s="99">
        <f>B36+B38+B40</f>
        <v>5000000</v>
      </c>
      <c r="C43" s="99">
        <f>C36+C38+C40</f>
        <v>13956854</v>
      </c>
      <c r="D43" s="99">
        <f>D36+D38+D40</f>
        <v>16956854</v>
      </c>
      <c r="E43" s="99">
        <f>E36+E38+E40</f>
        <v>16956854</v>
      </c>
      <c r="F43" s="99">
        <f>F36+F38+F40</f>
        <v>16956854</v>
      </c>
      <c r="G43" s="277">
        <f t="shared" si="3"/>
        <v>0</v>
      </c>
      <c r="H43" s="134" t="s">
        <v>142</v>
      </c>
      <c r="I43" s="99">
        <f>I36+I38</f>
        <v>14466956</v>
      </c>
      <c r="J43" s="99">
        <f>J36+J38</f>
        <v>25113795</v>
      </c>
      <c r="K43" s="99">
        <f>K36+K38</f>
        <v>31571416</v>
      </c>
      <c r="L43" s="99">
        <f>L36+L38</f>
        <v>31751416</v>
      </c>
      <c r="M43" s="99">
        <f>M36+M38</f>
        <v>31751416</v>
      </c>
      <c r="N43" s="125">
        <f t="shared" si="4"/>
        <v>0</v>
      </c>
    </row>
    <row r="44" spans="1:14" x14ac:dyDescent="0.25">
      <c r="A44" s="136"/>
      <c r="B44" s="137"/>
      <c r="C44" s="137"/>
      <c r="D44" s="137"/>
      <c r="E44" s="137"/>
      <c r="F44" s="137"/>
      <c r="G44" s="137"/>
      <c r="H44" s="136"/>
      <c r="I44" s="137"/>
    </row>
    <row r="45" spans="1:14" x14ac:dyDescent="0.25">
      <c r="A45" s="136"/>
      <c r="B45" s="137"/>
      <c r="C45" s="137"/>
      <c r="D45" s="137"/>
      <c r="E45" s="137"/>
      <c r="F45" s="137"/>
      <c r="G45" s="137"/>
      <c r="H45" s="136"/>
      <c r="I45" s="137"/>
    </row>
    <row r="46" spans="1:14" ht="15.75" customHeight="1" x14ac:dyDescent="0.25">
      <c r="A46" s="361" t="s">
        <v>349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</row>
    <row r="47" spans="1:14" ht="16.5" thickBot="1" x14ac:dyDescent="0.3"/>
    <row r="48" spans="1:14" s="120" customFormat="1" ht="31.5" x14ac:dyDescent="0.25">
      <c r="A48" s="121" t="s">
        <v>143</v>
      </c>
      <c r="B48" s="37" t="s">
        <v>324</v>
      </c>
      <c r="C48" s="51" t="s">
        <v>321</v>
      </c>
      <c r="D48" s="282" t="s">
        <v>370</v>
      </c>
      <c r="E48" s="321"/>
      <c r="F48" s="331"/>
      <c r="G48" s="51" t="s">
        <v>322</v>
      </c>
      <c r="H48" s="122" t="s">
        <v>144</v>
      </c>
      <c r="I48" s="37" t="s">
        <v>324</v>
      </c>
      <c r="J48" s="51" t="s">
        <v>321</v>
      </c>
      <c r="K48" s="284" t="s">
        <v>370</v>
      </c>
      <c r="L48" s="284"/>
      <c r="M48" s="284"/>
      <c r="N48" s="52" t="s">
        <v>322</v>
      </c>
    </row>
    <row r="49" spans="1:14" ht="63" x14ac:dyDescent="0.25">
      <c r="A49" s="126" t="s">
        <v>145</v>
      </c>
      <c r="B49" s="97">
        <f>B15</f>
        <v>45947348</v>
      </c>
      <c r="C49" s="97">
        <f>C15</f>
        <v>46184828</v>
      </c>
      <c r="D49" s="277">
        <f>D15</f>
        <v>60343661</v>
      </c>
      <c r="E49" s="277">
        <f>E15</f>
        <v>60965961</v>
      </c>
      <c r="F49" s="277">
        <f>F15</f>
        <v>63343812</v>
      </c>
      <c r="G49" s="277">
        <f>F49-E49</f>
        <v>2377851</v>
      </c>
      <c r="H49" s="124" t="s">
        <v>146</v>
      </c>
      <c r="I49" s="97">
        <f>I15</f>
        <v>54988277</v>
      </c>
      <c r="J49" s="277">
        <f>J15</f>
        <v>62184313</v>
      </c>
      <c r="K49" s="277">
        <f>K15</f>
        <v>72885525</v>
      </c>
      <c r="L49" s="277">
        <f>L15</f>
        <v>73327825</v>
      </c>
      <c r="M49" s="277">
        <f>M15</f>
        <v>76947667</v>
      </c>
      <c r="N49" s="125">
        <f>M49-L49</f>
        <v>3619842</v>
      </c>
    </row>
    <row r="50" spans="1:14" ht="78.75" x14ac:dyDescent="0.25">
      <c r="A50" s="126" t="s">
        <v>147</v>
      </c>
      <c r="B50" s="97">
        <f>B36</f>
        <v>5000000</v>
      </c>
      <c r="C50" s="97">
        <f>C36</f>
        <v>13956854</v>
      </c>
      <c r="D50" s="277">
        <f>D36</f>
        <v>16956854</v>
      </c>
      <c r="E50" s="277">
        <f>E36</f>
        <v>16956854</v>
      </c>
      <c r="F50" s="277">
        <f>F36</f>
        <v>16956854</v>
      </c>
      <c r="G50" s="277">
        <f t="shared" ref="G50:G58" si="5">F50-E50</f>
        <v>0</v>
      </c>
      <c r="H50" s="124" t="s">
        <v>148</v>
      </c>
      <c r="I50" s="97">
        <f>I36</f>
        <v>14466956</v>
      </c>
      <c r="J50" s="97">
        <f>J36</f>
        <v>25113795</v>
      </c>
      <c r="K50" s="277">
        <f>K36</f>
        <v>31571416</v>
      </c>
      <c r="L50" s="277">
        <f>L36</f>
        <v>31751416</v>
      </c>
      <c r="M50" s="277">
        <f>M36</f>
        <v>31751416</v>
      </c>
      <c r="N50" s="125">
        <f t="shared" ref="N50:N59" si="6">M50-L50</f>
        <v>0</v>
      </c>
    </row>
    <row r="51" spans="1:14" s="132" customFormat="1" ht="78.75" x14ac:dyDescent="0.25">
      <c r="A51" s="128" t="s">
        <v>11</v>
      </c>
      <c r="B51" s="129">
        <f>SUM(B49:B50)</f>
        <v>50947348</v>
      </c>
      <c r="C51" s="129">
        <f>SUM(C49:C50)</f>
        <v>60141682</v>
      </c>
      <c r="D51" s="129">
        <f>SUM(D49:D50)</f>
        <v>77300515</v>
      </c>
      <c r="E51" s="129">
        <f>SUM(E49:E50)</f>
        <v>77922815</v>
      </c>
      <c r="F51" s="129">
        <f>SUM(F49:F50)</f>
        <v>80300666</v>
      </c>
      <c r="G51" s="277">
        <f t="shared" si="5"/>
        <v>2377851</v>
      </c>
      <c r="H51" s="130" t="s">
        <v>20</v>
      </c>
      <c r="I51" s="129">
        <f>SUM(I49:I50)</f>
        <v>69455233</v>
      </c>
      <c r="J51" s="129">
        <f>SUM(J49:J50)</f>
        <v>87298108</v>
      </c>
      <c r="K51" s="129">
        <f>SUM(K49:K50)</f>
        <v>104456941</v>
      </c>
      <c r="L51" s="129">
        <f>SUM(L49:L50)</f>
        <v>105079241</v>
      </c>
      <c r="M51" s="129">
        <f>SUM(M49:M50)</f>
        <v>108699083</v>
      </c>
      <c r="N51" s="125">
        <f t="shared" si="6"/>
        <v>3619842</v>
      </c>
    </row>
    <row r="52" spans="1:14" s="132" customFormat="1" ht="47.25" x14ac:dyDescent="0.25">
      <c r="A52" s="128" t="s">
        <v>149</v>
      </c>
      <c r="B52" s="129"/>
      <c r="C52" s="129"/>
      <c r="D52" s="129"/>
      <c r="E52" s="129"/>
      <c r="F52" s="129"/>
      <c r="G52" s="277">
        <f t="shared" si="5"/>
        <v>0</v>
      </c>
      <c r="H52" s="130" t="s">
        <v>150</v>
      </c>
      <c r="I52" s="129">
        <f>I51-B51</f>
        <v>18507885</v>
      </c>
      <c r="J52" s="129">
        <f>J51-C51</f>
        <v>27156426</v>
      </c>
      <c r="K52" s="129">
        <f>K51-D51</f>
        <v>27156426</v>
      </c>
      <c r="L52" s="129">
        <f>L51-E51</f>
        <v>27156426</v>
      </c>
      <c r="M52" s="129">
        <f>M51-F51</f>
        <v>28398417</v>
      </c>
      <c r="N52" s="125">
        <f t="shared" si="6"/>
        <v>1241991</v>
      </c>
    </row>
    <row r="53" spans="1:14" s="132" customFormat="1" ht="126" x14ac:dyDescent="0.25">
      <c r="A53" s="128" t="s">
        <v>151</v>
      </c>
      <c r="B53" s="129">
        <f>SUM(B54:B55)</f>
        <v>20000000</v>
      </c>
      <c r="C53" s="129">
        <f>SUM(C54:C55)</f>
        <v>28648541</v>
      </c>
      <c r="D53" s="129">
        <f>SUM(D54:D55)</f>
        <v>28648541</v>
      </c>
      <c r="E53" s="129">
        <f>SUM(E54:E55)</f>
        <v>28648541</v>
      </c>
      <c r="F53" s="129">
        <f>SUM(F54:F55)</f>
        <v>28648541</v>
      </c>
      <c r="G53" s="277">
        <f t="shared" si="5"/>
        <v>0</v>
      </c>
      <c r="H53" s="130" t="s">
        <v>152</v>
      </c>
      <c r="I53" s="129">
        <f>SUM(I54:I55)</f>
        <v>2399591</v>
      </c>
      <c r="J53" s="129">
        <f>SUM(J54:J55)</f>
        <v>2399591</v>
      </c>
      <c r="K53" s="129">
        <f>SUM(K54:K55)</f>
        <v>2455354</v>
      </c>
      <c r="L53" s="129">
        <f>SUM(L54:L55)</f>
        <v>2455354</v>
      </c>
      <c r="M53" s="129">
        <f>SUM(M54:M55)</f>
        <v>2455354</v>
      </c>
      <c r="N53" s="125">
        <f t="shared" si="6"/>
        <v>0</v>
      </c>
    </row>
    <row r="54" spans="1:14" ht="78.75" x14ac:dyDescent="0.25">
      <c r="A54" s="126" t="s">
        <v>110</v>
      </c>
      <c r="B54" s="97">
        <f>B17</f>
        <v>20000000</v>
      </c>
      <c r="C54" s="97">
        <f>C17</f>
        <v>28648541</v>
      </c>
      <c r="D54" s="277">
        <f>D17</f>
        <v>28648541</v>
      </c>
      <c r="E54" s="277">
        <f>E17</f>
        <v>28648541</v>
      </c>
      <c r="F54" s="277">
        <f>F17</f>
        <v>28648541</v>
      </c>
      <c r="G54" s="277">
        <f t="shared" si="5"/>
        <v>0</v>
      </c>
      <c r="H54" s="124" t="s">
        <v>153</v>
      </c>
      <c r="I54" s="97">
        <f>I17</f>
        <v>2399591</v>
      </c>
      <c r="J54" s="97">
        <f>J17</f>
        <v>2399591</v>
      </c>
      <c r="K54" s="277">
        <f>K17</f>
        <v>2455354</v>
      </c>
      <c r="L54" s="277">
        <f>L17</f>
        <v>2455354</v>
      </c>
      <c r="M54" s="277">
        <f>M17</f>
        <v>2455354</v>
      </c>
      <c r="N54" s="125">
        <f t="shared" si="6"/>
        <v>0</v>
      </c>
    </row>
    <row r="55" spans="1:14" ht="94.5" x14ac:dyDescent="0.25">
      <c r="A55" s="126" t="s">
        <v>133</v>
      </c>
      <c r="B55" s="97">
        <f>B38</f>
        <v>0</v>
      </c>
      <c r="C55" s="97">
        <f>C38</f>
        <v>0</v>
      </c>
      <c r="D55" s="277">
        <f>D38</f>
        <v>0</v>
      </c>
      <c r="E55" s="277">
        <f>E38</f>
        <v>0</v>
      </c>
      <c r="F55" s="277">
        <f>F38</f>
        <v>0</v>
      </c>
      <c r="G55" s="277">
        <f t="shared" si="5"/>
        <v>0</v>
      </c>
      <c r="H55" s="124" t="s">
        <v>154</v>
      </c>
      <c r="I55" s="97">
        <f>I38</f>
        <v>0</v>
      </c>
      <c r="J55" s="97">
        <f>J38</f>
        <v>0</v>
      </c>
      <c r="K55" s="277">
        <f>K38</f>
        <v>0</v>
      </c>
      <c r="L55" s="277">
        <f>L38</f>
        <v>0</v>
      </c>
      <c r="M55" s="293"/>
      <c r="N55" s="125">
        <f t="shared" si="6"/>
        <v>0</v>
      </c>
    </row>
    <row r="56" spans="1:14" s="132" customFormat="1" ht="63" x14ac:dyDescent="0.25">
      <c r="A56" s="128" t="s">
        <v>155</v>
      </c>
      <c r="B56" s="129">
        <f>SUM(B57:B58)</f>
        <v>907476</v>
      </c>
      <c r="C56" s="129">
        <f>SUM(C57:C58)</f>
        <v>907476</v>
      </c>
      <c r="D56" s="129">
        <f>SUM(D57:D58)</f>
        <v>963239</v>
      </c>
      <c r="E56" s="129">
        <f>SUM(E57:E58)</f>
        <v>963239</v>
      </c>
      <c r="F56" s="129">
        <f>SUM(F57:F58)</f>
        <v>2205230</v>
      </c>
      <c r="G56" s="277">
        <f t="shared" si="5"/>
        <v>1241991</v>
      </c>
      <c r="H56" s="130"/>
      <c r="I56" s="130"/>
      <c r="J56" s="129"/>
      <c r="K56" s="294"/>
      <c r="L56" s="294"/>
      <c r="M56" s="294"/>
      <c r="N56" s="125">
        <f t="shared" si="6"/>
        <v>0</v>
      </c>
    </row>
    <row r="57" spans="1:14" ht="63" x14ac:dyDescent="0.25">
      <c r="A57" s="126" t="s">
        <v>113</v>
      </c>
      <c r="B57" s="97">
        <f>B19</f>
        <v>907476</v>
      </c>
      <c r="C57" s="97">
        <f>C19</f>
        <v>907476</v>
      </c>
      <c r="D57" s="277">
        <f>D19</f>
        <v>963239</v>
      </c>
      <c r="E57" s="277">
        <f>E19</f>
        <v>963239</v>
      </c>
      <c r="F57" s="277">
        <f>F19</f>
        <v>2205230</v>
      </c>
      <c r="G57" s="277">
        <f t="shared" si="5"/>
        <v>1241991</v>
      </c>
      <c r="H57" s="124"/>
      <c r="I57" s="97"/>
      <c r="J57" s="97"/>
      <c r="K57" s="293"/>
      <c r="L57" s="293"/>
      <c r="M57" s="293"/>
      <c r="N57" s="125">
        <f t="shared" si="6"/>
        <v>0</v>
      </c>
    </row>
    <row r="58" spans="1:14" ht="78.75" x14ac:dyDescent="0.25">
      <c r="A58" s="126" t="s">
        <v>137</v>
      </c>
      <c r="B58" s="97">
        <f>B40</f>
        <v>0</v>
      </c>
      <c r="C58" s="97">
        <f>C40</f>
        <v>0</v>
      </c>
      <c r="D58" s="277">
        <f>D40</f>
        <v>0</v>
      </c>
      <c r="E58" s="277">
        <f>E40</f>
        <v>0</v>
      </c>
      <c r="F58" s="277"/>
      <c r="G58" s="277">
        <f t="shared" si="5"/>
        <v>0</v>
      </c>
      <c r="H58" s="130"/>
      <c r="I58" s="129"/>
      <c r="J58" s="97"/>
      <c r="K58" s="293"/>
      <c r="L58" s="293"/>
      <c r="M58" s="293"/>
      <c r="N58" s="125">
        <f t="shared" si="6"/>
        <v>0</v>
      </c>
    </row>
    <row r="59" spans="1:14" s="132" customFormat="1" ht="32.25" thickBot="1" x14ac:dyDescent="0.3">
      <c r="A59" s="133" t="s">
        <v>65</v>
      </c>
      <c r="B59" s="99">
        <f t="shared" ref="B59:G59" si="7">B51+B53+B56</f>
        <v>71854824</v>
      </c>
      <c r="C59" s="99">
        <f t="shared" si="7"/>
        <v>89697699</v>
      </c>
      <c r="D59" s="99">
        <f t="shared" si="7"/>
        <v>106912295</v>
      </c>
      <c r="E59" s="99">
        <f t="shared" si="7"/>
        <v>107534595</v>
      </c>
      <c r="F59" s="99">
        <f t="shared" si="7"/>
        <v>111154437</v>
      </c>
      <c r="G59" s="99">
        <f t="shared" si="7"/>
        <v>3619842</v>
      </c>
      <c r="H59" s="134" t="s">
        <v>156</v>
      </c>
      <c r="I59" s="99">
        <f>I51+I53</f>
        <v>71854824</v>
      </c>
      <c r="J59" s="99">
        <f>J51+J53</f>
        <v>89697699</v>
      </c>
      <c r="K59" s="99">
        <f>K51+K53</f>
        <v>106912295</v>
      </c>
      <c r="L59" s="99">
        <f>L51+L53</f>
        <v>107534595</v>
      </c>
      <c r="M59" s="99">
        <f>M51+M53</f>
        <v>111154437</v>
      </c>
      <c r="N59" s="131">
        <f t="shared" si="6"/>
        <v>3619842</v>
      </c>
    </row>
    <row r="60" spans="1:14" x14ac:dyDescent="0.25">
      <c r="A60" s="120" t="s">
        <v>157</v>
      </c>
    </row>
  </sheetData>
  <sheetProtection selectLockedCells="1" selectUnlockedCells="1"/>
  <mergeCells count="3">
    <mergeCell ref="A2:N2"/>
    <mergeCell ref="A25:N25"/>
    <mergeCell ref="A46:N46"/>
  </mergeCells>
  <phoneticPr fontId="21" type="noConversion"/>
  <printOptions horizontalCentered="1" verticalCentered="1"/>
  <pageMargins left="0.15748031496062992" right="0.15748031496062992" top="0.39261538461538459" bottom="0.59055118110236227" header="0.31496062992125984" footer="0.51181102362204722"/>
  <pageSetup paperSize="9" scale="88" firstPageNumber="0" orientation="landscape" r:id="rId1"/>
  <headerFooter alignWithMargins="0">
    <oddHeader>&amp;C&amp;"Times New Roman,Normál"&amp;12 6. melléklet
Az önkormányzat 2018. évi költségvetéséről szóló 3/2019. (III. 14.) önkormányzati rendelethez</oddHeader>
  </headerFooter>
  <rowBreaks count="3" manualBreakCount="3">
    <brk id="23" max="7" man="1"/>
    <brk id="45" max="7" man="1"/>
    <brk id="6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N84"/>
  <sheetViews>
    <sheetView view="pageLayout" zoomScaleNormal="100" zoomScaleSheetLayoutView="89" workbookViewId="0">
      <selection activeCell="O7" sqref="O7"/>
    </sheetView>
  </sheetViews>
  <sheetFormatPr defaultColWidth="9.140625" defaultRowHeight="15.75" x14ac:dyDescent="0.25"/>
  <cols>
    <col min="1" max="1" width="19.28515625" style="138" customWidth="1"/>
    <col min="2" max="2" width="12.140625" style="139" customWidth="1"/>
    <col min="3" max="4" width="12.5703125" style="139" customWidth="1"/>
    <col min="5" max="5" width="12.85546875" style="139" customWidth="1"/>
    <col min="6" max="6" width="13.140625" style="139" customWidth="1"/>
    <col min="7" max="7" width="12.140625" style="139" customWidth="1"/>
    <col min="8" max="8" width="17.28515625" style="139" customWidth="1"/>
    <col min="9" max="9" width="12.140625" style="139" customWidth="1"/>
    <col min="10" max="10" width="11.42578125" style="139" customWidth="1"/>
    <col min="11" max="11" width="12.85546875" style="139" customWidth="1"/>
    <col min="12" max="12" width="12.42578125" style="139" customWidth="1"/>
    <col min="13" max="13" width="12.28515625" style="139" customWidth="1"/>
    <col min="14" max="14" width="10" style="139" customWidth="1"/>
    <col min="15" max="15" width="11" style="139" bestFit="1" customWidth="1"/>
    <col min="16" max="16384" width="9.140625" style="139"/>
  </cols>
  <sheetData>
    <row r="1" spans="1:14" ht="15.75" customHeight="1" thickBot="1" x14ac:dyDescent="0.3">
      <c r="A1" s="362" t="s">
        <v>362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s="138" customFormat="1" ht="31.5" x14ac:dyDescent="0.25">
      <c r="A2" s="140" t="s">
        <v>99</v>
      </c>
      <c r="B2" s="37" t="s">
        <v>384</v>
      </c>
      <c r="C2" s="37" t="s">
        <v>385</v>
      </c>
      <c r="D2" s="37" t="s">
        <v>391</v>
      </c>
      <c r="E2" s="37" t="s">
        <v>392</v>
      </c>
      <c r="F2" s="37" t="s">
        <v>393</v>
      </c>
      <c r="G2" s="333" t="s">
        <v>367</v>
      </c>
      <c r="H2" s="141" t="s">
        <v>100</v>
      </c>
      <c r="I2" s="37" t="s">
        <v>384</v>
      </c>
      <c r="J2" s="37" t="s">
        <v>385</v>
      </c>
      <c r="K2" s="37" t="s">
        <v>391</v>
      </c>
      <c r="L2" s="37" t="s">
        <v>392</v>
      </c>
      <c r="M2" s="292" t="s">
        <v>395</v>
      </c>
      <c r="N2" s="333" t="s">
        <v>367</v>
      </c>
    </row>
    <row r="3" spans="1:14" s="138" customFormat="1" ht="31.5" x14ac:dyDescent="0.25">
      <c r="A3" s="142" t="s">
        <v>158</v>
      </c>
      <c r="B3" s="143"/>
      <c r="C3" s="143"/>
      <c r="D3" s="143"/>
      <c r="E3" s="143"/>
      <c r="F3" s="143"/>
      <c r="G3" s="143"/>
      <c r="H3" s="144" t="s">
        <v>15</v>
      </c>
      <c r="I3" s="156"/>
      <c r="J3" s="156"/>
      <c r="K3" s="285"/>
      <c r="L3" s="285"/>
      <c r="M3" s="285"/>
      <c r="N3" s="145">
        <f>M3-L3</f>
        <v>0</v>
      </c>
    </row>
    <row r="4" spans="1:14" ht="63" x14ac:dyDescent="0.25">
      <c r="A4" s="146" t="s">
        <v>159</v>
      </c>
      <c r="B4" s="147">
        <f>'6.tábla '!B5</f>
        <v>31474348</v>
      </c>
      <c r="C4" s="147">
        <f>'6.tábla '!C5</f>
        <v>31561828</v>
      </c>
      <c r="D4" s="147">
        <f>'6.tábla '!D5</f>
        <v>44660661</v>
      </c>
      <c r="E4" s="147">
        <f>'6.tábla '!E5</f>
        <v>45282961</v>
      </c>
      <c r="F4" s="147">
        <f>'6.tábla '!F5</f>
        <v>47660812</v>
      </c>
      <c r="G4" s="147">
        <f>F4-E4</f>
        <v>2377851</v>
      </c>
      <c r="H4" s="148" t="s">
        <v>90</v>
      </c>
      <c r="I4" s="147">
        <f>'6.tábla '!I5</f>
        <v>11351918</v>
      </c>
      <c r="J4" s="147">
        <f>'6.tábla '!J5</f>
        <v>12486198</v>
      </c>
      <c r="K4" s="147">
        <f>'6.tábla '!K5</f>
        <v>12748689</v>
      </c>
      <c r="L4" s="147">
        <f>'6.tábla '!L5</f>
        <v>13590461</v>
      </c>
      <c r="M4" s="147">
        <f>'6.tábla '!M5</f>
        <v>13590461</v>
      </c>
      <c r="N4" s="145">
        <f t="shared" ref="N4:N28" si="0">M4-L4</f>
        <v>0</v>
      </c>
    </row>
    <row r="5" spans="1:14" ht="17.45" customHeight="1" x14ac:dyDescent="0.25">
      <c r="A5" s="150" t="s">
        <v>102</v>
      </c>
      <c r="B5" s="97">
        <f>'6.tábla '!B6</f>
        <v>11333000</v>
      </c>
      <c r="C5" s="97">
        <f>'6.tábla '!C6</f>
        <v>11333000</v>
      </c>
      <c r="D5" s="277">
        <f>'6.tábla '!D6</f>
        <v>11333000</v>
      </c>
      <c r="E5" s="277">
        <f>'6.tábla '!E6</f>
        <v>11333000</v>
      </c>
      <c r="F5" s="277">
        <f>'6.tábla '!F6</f>
        <v>11333000</v>
      </c>
      <c r="G5" s="147">
        <f>F5-E5</f>
        <v>0</v>
      </c>
      <c r="H5" s="148" t="s">
        <v>87</v>
      </c>
      <c r="I5" s="147">
        <f>'6.tábla '!I6</f>
        <v>2307565</v>
      </c>
      <c r="J5" s="147">
        <f>'6.tábla '!J6</f>
        <v>2217871</v>
      </c>
      <c r="K5" s="147">
        <f>'6.tábla '!K6</f>
        <v>2432047</v>
      </c>
      <c r="L5" s="147">
        <f>'6.tábla '!L6</f>
        <v>2561314</v>
      </c>
      <c r="M5" s="147">
        <f>'6.tábla '!M6</f>
        <v>2561314</v>
      </c>
      <c r="N5" s="145">
        <f t="shared" si="0"/>
        <v>0</v>
      </c>
    </row>
    <row r="6" spans="1:14" ht="31.5" x14ac:dyDescent="0.25">
      <c r="A6" s="150" t="s">
        <v>103</v>
      </c>
      <c r="B6" s="147">
        <f>'6.tábla '!B7-B34</f>
        <v>3140000</v>
      </c>
      <c r="C6" s="147">
        <f>'6.tábla '!C7-C34</f>
        <v>3290000</v>
      </c>
      <c r="D6" s="147">
        <f>'6.tábla '!D7-D34</f>
        <v>4350000</v>
      </c>
      <c r="E6" s="147">
        <f>'6.tábla '!E7-E34</f>
        <v>4350000</v>
      </c>
      <c r="F6" s="147">
        <f>'6.tábla '!F7-F34</f>
        <v>4350000</v>
      </c>
      <c r="G6" s="147">
        <f t="shared" ref="G6:G28" si="1">F6-E6</f>
        <v>0</v>
      </c>
      <c r="H6" s="148" t="s">
        <v>88</v>
      </c>
      <c r="I6" s="147">
        <f>'6.tábla '!I7-I34</f>
        <v>17032982</v>
      </c>
      <c r="J6" s="147">
        <f>'6.tábla '!J7-J34</f>
        <v>17214872</v>
      </c>
      <c r="K6" s="147">
        <f>'6.tábla '!K7-K34</f>
        <v>29585170</v>
      </c>
      <c r="L6" s="147">
        <f>'6.tábla '!L7-L34</f>
        <v>30647470</v>
      </c>
      <c r="M6" s="147">
        <f>'6.tábla '!M7-M34</f>
        <v>30647470</v>
      </c>
      <c r="N6" s="145">
        <f t="shared" si="0"/>
        <v>0</v>
      </c>
    </row>
    <row r="7" spans="1:14" ht="47.25" x14ac:dyDescent="0.25">
      <c r="A7" s="123" t="s">
        <v>341</v>
      </c>
      <c r="B7" s="147">
        <f>'6.tábla '!B8</f>
        <v>0</v>
      </c>
      <c r="C7" s="147">
        <f>'6.tábla '!C8</f>
        <v>0</v>
      </c>
      <c r="D7" s="147">
        <f>'6.tábla '!D8</f>
        <v>0</v>
      </c>
      <c r="E7" s="147">
        <f>'6.tábla '!E8</f>
        <v>0</v>
      </c>
      <c r="F7" s="147"/>
      <c r="G7" s="147">
        <f t="shared" si="1"/>
        <v>0</v>
      </c>
      <c r="H7" s="148" t="s">
        <v>91</v>
      </c>
      <c r="I7" s="147">
        <f>'6.tábla '!I8</f>
        <v>3795000</v>
      </c>
      <c r="J7" s="147">
        <f>'6.tábla '!J8</f>
        <v>3795000</v>
      </c>
      <c r="K7" s="147">
        <f>'6.tábla '!K8</f>
        <v>3795000</v>
      </c>
      <c r="L7" s="147">
        <f>'6.tábla '!L8</f>
        <v>3795000</v>
      </c>
      <c r="M7" s="147">
        <f>'6.tábla '!M8</f>
        <v>3795000</v>
      </c>
      <c r="N7" s="145">
        <f t="shared" si="0"/>
        <v>0</v>
      </c>
    </row>
    <row r="8" spans="1:14" ht="47.25" x14ac:dyDescent="0.25">
      <c r="A8" s="150"/>
      <c r="B8" s="147"/>
      <c r="C8" s="147"/>
      <c r="D8" s="147"/>
      <c r="E8" s="147"/>
      <c r="F8" s="147"/>
      <c r="G8" s="147">
        <f t="shared" si="1"/>
        <v>0</v>
      </c>
      <c r="H8" s="148" t="s">
        <v>89</v>
      </c>
      <c r="I8" s="147">
        <f>I10+I11+I12</f>
        <v>12335342</v>
      </c>
      <c r="J8" s="147">
        <f>J10+J11+J12</f>
        <v>12445782</v>
      </c>
      <c r="K8" s="147">
        <f>K10+K11+K12</f>
        <v>13013128</v>
      </c>
      <c r="L8" s="147">
        <f>L10+L11+L12</f>
        <v>13013128</v>
      </c>
      <c r="M8" s="147">
        <f>M10+M11+M12</f>
        <v>13013128</v>
      </c>
      <c r="N8" s="145">
        <f t="shared" si="0"/>
        <v>0</v>
      </c>
    </row>
    <row r="9" spans="1:14" ht="31.5" x14ac:dyDescent="0.25">
      <c r="A9" s="150"/>
      <c r="B9" s="147"/>
      <c r="C9" s="147"/>
      <c r="D9" s="147"/>
      <c r="E9" s="147"/>
      <c r="F9" s="147"/>
      <c r="G9" s="147">
        <f t="shared" si="1"/>
        <v>0</v>
      </c>
      <c r="H9" s="124" t="s">
        <v>226</v>
      </c>
      <c r="I9" s="147">
        <f>'6.tábla '!I10</f>
        <v>0</v>
      </c>
      <c r="J9" s="147">
        <f>'6.tábla '!J10</f>
        <v>0</v>
      </c>
      <c r="K9" s="147">
        <f>'6.tábla '!K10</f>
        <v>0</v>
      </c>
      <c r="L9" s="147">
        <f>'6.tábla '!L10</f>
        <v>0</v>
      </c>
      <c r="M9" s="147">
        <f>'6.tábla '!M10</f>
        <v>0</v>
      </c>
      <c r="N9" s="145">
        <f t="shared" si="0"/>
        <v>0</v>
      </c>
    </row>
    <row r="10" spans="1:14" ht="63" x14ac:dyDescent="0.25">
      <c r="A10" s="150"/>
      <c r="B10" s="147"/>
      <c r="C10" s="147"/>
      <c r="D10" s="147"/>
      <c r="E10" s="147"/>
      <c r="F10" s="147"/>
      <c r="G10" s="147">
        <f t="shared" si="1"/>
        <v>0</v>
      </c>
      <c r="H10" s="124" t="s">
        <v>227</v>
      </c>
      <c r="I10" s="147">
        <f>'6.tábla '!I11</f>
        <v>12335342</v>
      </c>
      <c r="J10" s="147">
        <f>'6.tábla '!J11</f>
        <v>12335342</v>
      </c>
      <c r="K10" s="147">
        <f>'6.tábla '!K11</f>
        <v>11331288</v>
      </c>
      <c r="L10" s="147">
        <f>'6.tábla '!L11</f>
        <v>11331288</v>
      </c>
      <c r="M10" s="147">
        <f>'6.tábla '!M11</f>
        <v>11331288</v>
      </c>
      <c r="N10" s="145">
        <f t="shared" si="0"/>
        <v>0</v>
      </c>
    </row>
    <row r="11" spans="1:14" ht="63" x14ac:dyDescent="0.25">
      <c r="A11" s="146"/>
      <c r="B11" s="151"/>
      <c r="C11" s="151"/>
      <c r="D11" s="151"/>
      <c r="E11" s="151"/>
      <c r="F11" s="151"/>
      <c r="G11" s="147">
        <f t="shared" si="1"/>
        <v>0</v>
      </c>
      <c r="H11" s="124" t="s">
        <v>228</v>
      </c>
      <c r="I11" s="147">
        <f>'6.tábla '!I12-I40</f>
        <v>0</v>
      </c>
      <c r="J11" s="147">
        <f>'6.tábla '!J12-J40</f>
        <v>0</v>
      </c>
      <c r="K11" s="147">
        <f>'6.tábla '!K12</f>
        <v>1571400</v>
      </c>
      <c r="L11" s="147">
        <f>'6.tábla '!L12-L40</f>
        <v>1571400</v>
      </c>
      <c r="M11" s="147">
        <f>'6.tábla '!M12-M40</f>
        <v>1571400</v>
      </c>
      <c r="N11" s="145">
        <f t="shared" si="0"/>
        <v>0</v>
      </c>
    </row>
    <row r="12" spans="1:14" ht="30.75" customHeight="1" x14ac:dyDescent="0.25">
      <c r="A12" s="123"/>
      <c r="B12" s="147"/>
      <c r="C12" s="147"/>
      <c r="D12" s="147"/>
      <c r="E12" s="147"/>
      <c r="F12" s="147"/>
      <c r="G12" s="147">
        <f t="shared" si="1"/>
        <v>0</v>
      </c>
      <c r="H12" s="124" t="s">
        <v>229</v>
      </c>
      <c r="I12" s="147">
        <f>'6.tábla '!I13</f>
        <v>0</v>
      </c>
      <c r="J12" s="147">
        <f>'6.tábla '!J13</f>
        <v>110440</v>
      </c>
      <c r="K12" s="147">
        <f>'6.tábla '!K13</f>
        <v>110440</v>
      </c>
      <c r="L12" s="147">
        <f>'6.tábla '!L13</f>
        <v>110440</v>
      </c>
      <c r="M12" s="147">
        <f>'6.tábla '!M13</f>
        <v>110440</v>
      </c>
      <c r="N12" s="145">
        <f t="shared" si="0"/>
        <v>0</v>
      </c>
    </row>
    <row r="13" spans="1:14" ht="47.25" x14ac:dyDescent="0.25">
      <c r="A13" s="150"/>
      <c r="B13" s="147"/>
      <c r="C13" s="147"/>
      <c r="D13" s="147"/>
      <c r="E13" s="147"/>
      <c r="F13" s="147"/>
      <c r="G13" s="147">
        <f t="shared" si="1"/>
        <v>0</v>
      </c>
      <c r="H13" s="124" t="s">
        <v>221</v>
      </c>
      <c r="I13" s="147">
        <f>'6.tábla '!I14</f>
        <v>7405470</v>
      </c>
      <c r="J13" s="147">
        <f>'6.tábla '!J14</f>
        <v>13264590</v>
      </c>
      <c r="K13" s="147">
        <f>'6.tábla '!K14</f>
        <v>11311491</v>
      </c>
      <c r="L13" s="147">
        <f>'6.tábla '!L14</f>
        <v>9720452</v>
      </c>
      <c r="M13" s="147">
        <f>'6.tábla '!M14</f>
        <v>13340294</v>
      </c>
      <c r="N13" s="145">
        <f t="shared" si="0"/>
        <v>3619842</v>
      </c>
    </row>
    <row r="14" spans="1:14" s="154" customFormat="1" ht="110.25" x14ac:dyDescent="0.25">
      <c r="A14" s="142" t="s">
        <v>160</v>
      </c>
      <c r="B14" s="152">
        <f>SUM(B4:B13)</f>
        <v>45947348</v>
      </c>
      <c r="C14" s="152">
        <f>SUM(C4:C13)</f>
        <v>46184828</v>
      </c>
      <c r="D14" s="152">
        <f>SUM(D4:D13)</f>
        <v>60343661</v>
      </c>
      <c r="E14" s="152">
        <f>SUM(E4:E13)</f>
        <v>60965961</v>
      </c>
      <c r="F14" s="152">
        <f>SUM(F4:F13)</f>
        <v>63343812</v>
      </c>
      <c r="G14" s="147">
        <f t="shared" si="1"/>
        <v>2377851</v>
      </c>
      <c r="H14" s="144" t="s">
        <v>161</v>
      </c>
      <c r="I14" s="152">
        <f>I4+I5+I6+I7+I8+I13</f>
        <v>54228277</v>
      </c>
      <c r="J14" s="152">
        <f>J4+J5+J6+J7+J8+J13</f>
        <v>61424313</v>
      </c>
      <c r="K14" s="152">
        <f>K4+K5+K6+K7+K8+K13</f>
        <v>72885525</v>
      </c>
      <c r="L14" s="152">
        <f t="shared" ref="L14:M14" si="2">L4+L5+L6+L7+L8+L13</f>
        <v>73327825</v>
      </c>
      <c r="M14" s="152">
        <f t="shared" si="2"/>
        <v>76947667</v>
      </c>
      <c r="N14" s="145">
        <f t="shared" si="0"/>
        <v>3619842</v>
      </c>
    </row>
    <row r="15" spans="1:14" ht="31.5" x14ac:dyDescent="0.25">
      <c r="A15" s="155" t="s">
        <v>162</v>
      </c>
      <c r="B15" s="147">
        <f>'6.tábla '!B53</f>
        <v>20000000</v>
      </c>
      <c r="C15" s="147">
        <f>'6.tábla '!C53</f>
        <v>28648541</v>
      </c>
      <c r="D15" s="147">
        <f>'6.tábla '!D53</f>
        <v>28648541</v>
      </c>
      <c r="E15" s="147">
        <f>'6.tábla '!E53</f>
        <v>28648541</v>
      </c>
      <c r="F15" s="147">
        <f>'6.tábla '!F53</f>
        <v>28648541</v>
      </c>
      <c r="G15" s="147">
        <f t="shared" si="1"/>
        <v>0</v>
      </c>
      <c r="H15" s="156" t="s">
        <v>163</v>
      </c>
      <c r="I15" s="147">
        <f>'6.tábla '!I17-I55</f>
        <v>2399591</v>
      </c>
      <c r="J15" s="147">
        <f>'6.tábla '!J17-J55</f>
        <v>2399591</v>
      </c>
      <c r="K15" s="147">
        <f>'6.tábla '!K17-K55</f>
        <v>2455354</v>
      </c>
      <c r="L15" s="147">
        <f>'6.tábla '!L17-L55</f>
        <v>2455354</v>
      </c>
      <c r="M15" s="147">
        <f>'6.tábla '!M17-M55</f>
        <v>2455354</v>
      </c>
      <c r="N15" s="145">
        <f t="shared" si="0"/>
        <v>0</v>
      </c>
    </row>
    <row r="16" spans="1:14" ht="126" x14ac:dyDescent="0.25">
      <c r="A16" s="142" t="s">
        <v>164</v>
      </c>
      <c r="B16" s="152">
        <f>B14+B15</f>
        <v>65947348</v>
      </c>
      <c r="C16" s="152">
        <f>C14+C15</f>
        <v>74833369</v>
      </c>
      <c r="D16" s="152">
        <f>D14+D15</f>
        <v>88992202</v>
      </c>
      <c r="E16" s="152">
        <f>E14+E15</f>
        <v>89614502</v>
      </c>
      <c r="F16" s="152">
        <f>F14+F15</f>
        <v>91992353</v>
      </c>
      <c r="G16" s="147">
        <f t="shared" si="1"/>
        <v>2377851</v>
      </c>
      <c r="H16" s="144" t="s">
        <v>165</v>
      </c>
      <c r="I16" s="152">
        <f>I14+I15</f>
        <v>56627868</v>
      </c>
      <c r="J16" s="152">
        <f>J14+J15</f>
        <v>63823904</v>
      </c>
      <c r="K16" s="152">
        <f>K14+K15</f>
        <v>75340879</v>
      </c>
      <c r="L16" s="152">
        <f>L14+L15</f>
        <v>75783179</v>
      </c>
      <c r="M16" s="152">
        <f>M14+M15</f>
        <v>79403021</v>
      </c>
      <c r="N16" s="145">
        <f t="shared" si="0"/>
        <v>3619842</v>
      </c>
    </row>
    <row r="17" spans="1:14" ht="31.5" x14ac:dyDescent="0.25">
      <c r="A17" s="142" t="s">
        <v>166</v>
      </c>
      <c r="B17" s="152"/>
      <c r="C17" s="152"/>
      <c r="D17" s="152"/>
      <c r="E17" s="152"/>
      <c r="F17" s="152"/>
      <c r="G17" s="147">
        <f t="shared" si="1"/>
        <v>0</v>
      </c>
      <c r="H17" s="152" t="s">
        <v>16</v>
      </c>
      <c r="I17" s="147"/>
      <c r="J17" s="147"/>
      <c r="K17" s="286"/>
      <c r="L17" s="286"/>
      <c r="M17" s="286"/>
      <c r="N17" s="145">
        <f t="shared" si="0"/>
        <v>0</v>
      </c>
    </row>
    <row r="18" spans="1:14" ht="31.5" x14ac:dyDescent="0.25">
      <c r="A18" s="123" t="s">
        <v>338</v>
      </c>
      <c r="B18" s="147">
        <f>'1.tábla '!B7</f>
        <v>5000000</v>
      </c>
      <c r="C18" s="147">
        <f>'1.tábla '!C7</f>
        <v>13956854</v>
      </c>
      <c r="D18" s="147">
        <f>'1.tábla '!D7</f>
        <v>13956854</v>
      </c>
      <c r="E18" s="147">
        <f>'1.tábla '!E7</f>
        <v>13956854</v>
      </c>
      <c r="F18" s="147">
        <f>'1.tábla '!F7</f>
        <v>13956854</v>
      </c>
      <c r="G18" s="147">
        <f t="shared" si="1"/>
        <v>0</v>
      </c>
      <c r="H18" s="148" t="s">
        <v>119</v>
      </c>
      <c r="I18" s="147">
        <f>'6.tábla '!I28-I46</f>
        <v>9119196</v>
      </c>
      <c r="J18" s="147">
        <f>'6.tábla '!J28-J46</f>
        <v>9217399</v>
      </c>
      <c r="K18" s="147">
        <f>'6.tábla '!K28-K46</f>
        <v>14222020</v>
      </c>
      <c r="L18" s="147">
        <f>'6.tábla '!L28-L46</f>
        <v>14402020</v>
      </c>
      <c r="M18" s="147">
        <f>'6.tábla '!M28-M46</f>
        <v>14402020</v>
      </c>
      <c r="N18" s="145">
        <f t="shared" si="0"/>
        <v>0</v>
      </c>
    </row>
    <row r="19" spans="1:14" ht="47.25" x14ac:dyDescent="0.25">
      <c r="A19" s="126" t="s">
        <v>167</v>
      </c>
      <c r="B19" s="147">
        <f>'6.tábla '!B29-B47</f>
        <v>0</v>
      </c>
      <c r="C19" s="147"/>
      <c r="D19" s="147"/>
      <c r="E19" s="147"/>
      <c r="F19" s="147"/>
      <c r="G19" s="147">
        <f t="shared" si="1"/>
        <v>0</v>
      </c>
      <c r="H19" s="148" t="s">
        <v>121</v>
      </c>
      <c r="I19" s="147"/>
      <c r="J19" s="147"/>
      <c r="K19" s="286"/>
      <c r="L19" s="286"/>
      <c r="M19" s="286"/>
      <c r="N19" s="145">
        <f t="shared" si="0"/>
        <v>0</v>
      </c>
    </row>
    <row r="20" spans="1:14" ht="47.25" x14ac:dyDescent="0.25">
      <c r="A20" s="126" t="s">
        <v>339</v>
      </c>
      <c r="B20" s="147">
        <f>'6.tábla '!B30-B48</f>
        <v>0</v>
      </c>
      <c r="C20" s="147"/>
      <c r="D20" s="147">
        <f>'6.tábla '!D30</f>
        <v>3000000</v>
      </c>
      <c r="E20" s="147">
        <f>'6.tábla '!E30</f>
        <v>3000000</v>
      </c>
      <c r="F20" s="147">
        <f>'6.tábla '!F30</f>
        <v>3000000</v>
      </c>
      <c r="G20" s="147">
        <f t="shared" si="1"/>
        <v>0</v>
      </c>
      <c r="H20" s="148" t="s">
        <v>123</v>
      </c>
      <c r="I20" s="147">
        <f>'6.tábla '!I30</f>
        <v>5316875</v>
      </c>
      <c r="J20" s="147">
        <f>'6.tábla '!J30</f>
        <v>15865511</v>
      </c>
      <c r="K20" s="147">
        <f>'6.tábla '!K30</f>
        <v>17318511</v>
      </c>
      <c r="L20" s="147">
        <f>'6.tábla '!L30</f>
        <v>17318511</v>
      </c>
      <c r="M20" s="147">
        <f>'6.tábla '!M30</f>
        <v>17318511</v>
      </c>
      <c r="N20" s="145">
        <f t="shared" si="0"/>
        <v>0</v>
      </c>
    </row>
    <row r="21" spans="1:14" ht="47.25" x14ac:dyDescent="0.25">
      <c r="A21" s="150"/>
      <c r="B21" s="147"/>
      <c r="C21" s="147"/>
      <c r="D21" s="147"/>
      <c r="E21" s="147"/>
      <c r="F21" s="147"/>
      <c r="G21" s="147">
        <f t="shared" si="1"/>
        <v>0</v>
      </c>
      <c r="H21" s="148" t="s">
        <v>169</v>
      </c>
      <c r="I21" s="147">
        <f>'6.tábla '!I31</f>
        <v>30885</v>
      </c>
      <c r="J21" s="147">
        <f>'6.tábla '!J31</f>
        <v>30885</v>
      </c>
      <c r="K21" s="147">
        <f>'6.tábla '!K31</f>
        <v>30885</v>
      </c>
      <c r="L21" s="147">
        <f>'6.tábla '!L31</f>
        <v>30885</v>
      </c>
      <c r="M21" s="147">
        <f>'6.tábla '!M31</f>
        <v>30885</v>
      </c>
      <c r="N21" s="145">
        <f t="shared" si="0"/>
        <v>0</v>
      </c>
    </row>
    <row r="22" spans="1:14" ht="63" x14ac:dyDescent="0.25">
      <c r="A22" s="150"/>
      <c r="B22" s="147"/>
      <c r="C22" s="147"/>
      <c r="D22" s="147"/>
      <c r="E22" s="147"/>
      <c r="F22" s="147"/>
      <c r="G22" s="147">
        <f t="shared" si="1"/>
        <v>0</v>
      </c>
      <c r="H22" s="148" t="s">
        <v>340</v>
      </c>
      <c r="I22" s="147"/>
      <c r="J22" s="147"/>
      <c r="K22" s="286"/>
      <c r="L22" s="286"/>
      <c r="M22" s="286"/>
      <c r="N22" s="145">
        <f t="shared" si="0"/>
        <v>0</v>
      </c>
    </row>
    <row r="23" spans="1:14" ht="63" x14ac:dyDescent="0.25">
      <c r="A23" s="150"/>
      <c r="B23" s="147"/>
      <c r="C23" s="147"/>
      <c r="D23" s="147"/>
      <c r="E23" s="147"/>
      <c r="F23" s="147"/>
      <c r="G23" s="147">
        <f t="shared" si="1"/>
        <v>0</v>
      </c>
      <c r="H23" s="157" t="s">
        <v>171</v>
      </c>
      <c r="I23" s="147"/>
      <c r="J23" s="147"/>
      <c r="K23" s="286"/>
      <c r="L23" s="286"/>
      <c r="M23" s="286"/>
      <c r="N23" s="145">
        <f t="shared" si="0"/>
        <v>0</v>
      </c>
    </row>
    <row r="24" spans="1:14" ht="30.75" customHeight="1" x14ac:dyDescent="0.25">
      <c r="A24" s="155"/>
      <c r="B24" s="147"/>
      <c r="C24" s="147"/>
      <c r="D24" s="147"/>
      <c r="E24" s="147"/>
      <c r="F24" s="147"/>
      <c r="G24" s="147">
        <f t="shared" si="1"/>
        <v>0</v>
      </c>
      <c r="H24" s="148" t="s">
        <v>172</v>
      </c>
      <c r="I24" s="147"/>
      <c r="J24" s="147"/>
      <c r="K24" s="286"/>
      <c r="L24" s="286"/>
      <c r="M24" s="286"/>
      <c r="N24" s="145">
        <f t="shared" si="0"/>
        <v>0</v>
      </c>
    </row>
    <row r="25" spans="1:14" s="154" customFormat="1" ht="110.25" x14ac:dyDescent="0.25">
      <c r="A25" s="142" t="s">
        <v>173</v>
      </c>
      <c r="B25" s="152">
        <f>SUM(B18:B24)</f>
        <v>5000000</v>
      </c>
      <c r="C25" s="152">
        <f>SUM(C18:C24)</f>
        <v>13956854</v>
      </c>
      <c r="D25" s="152">
        <f>SUM(D18:D24)</f>
        <v>16956854</v>
      </c>
      <c r="E25" s="152">
        <f>SUM(E18:E24)</f>
        <v>16956854</v>
      </c>
      <c r="F25" s="152">
        <f>SUM(F18:F24)</f>
        <v>16956854</v>
      </c>
      <c r="G25" s="147">
        <f t="shared" si="1"/>
        <v>0</v>
      </c>
      <c r="H25" s="144" t="s">
        <v>161</v>
      </c>
      <c r="I25" s="152">
        <f>SUM(I18:I24)</f>
        <v>14466956</v>
      </c>
      <c r="J25" s="152">
        <f>SUM(J18:J24)</f>
        <v>25113795</v>
      </c>
      <c r="K25" s="152">
        <f>SUM(K18:K24)</f>
        <v>31571416</v>
      </c>
      <c r="L25" s="152">
        <f>SUM(L18:L24)</f>
        <v>31751416</v>
      </c>
      <c r="M25" s="152">
        <f>SUM(M18:M24)</f>
        <v>31751416</v>
      </c>
      <c r="N25" s="145">
        <f t="shared" si="0"/>
        <v>0</v>
      </c>
    </row>
    <row r="26" spans="1:14" ht="15" customHeight="1" x14ac:dyDescent="0.25">
      <c r="A26" s="155" t="s">
        <v>162</v>
      </c>
      <c r="B26" s="147">
        <f>'6.tábla '!B19-B55</f>
        <v>907476</v>
      </c>
      <c r="C26" s="147">
        <f>'6.tábla '!C19-C55</f>
        <v>907476</v>
      </c>
      <c r="D26" s="147">
        <f>'6.tábla '!D19-D55</f>
        <v>963239</v>
      </c>
      <c r="E26" s="147">
        <f>'6.tábla '!E19-E55</f>
        <v>963239</v>
      </c>
      <c r="F26" s="147">
        <f>'6.tábla '!F19-F55</f>
        <v>2205230</v>
      </c>
      <c r="G26" s="147">
        <f t="shared" si="1"/>
        <v>1241991</v>
      </c>
      <c r="H26" s="156" t="s">
        <v>163</v>
      </c>
      <c r="I26" s="147">
        <f>'6.tábla '!I38</f>
        <v>0</v>
      </c>
      <c r="J26" s="147">
        <f>'6.tábla '!J38</f>
        <v>0</v>
      </c>
      <c r="K26" s="286"/>
      <c r="L26" s="286"/>
      <c r="M26" s="286"/>
      <c r="N26" s="145">
        <f t="shared" si="0"/>
        <v>0</v>
      </c>
    </row>
    <row r="27" spans="1:14" ht="126.75" thickBot="1" x14ac:dyDescent="0.3">
      <c r="A27" s="158" t="s">
        <v>174</v>
      </c>
      <c r="B27" s="159">
        <f>B25+B26</f>
        <v>5907476</v>
      </c>
      <c r="C27" s="159">
        <f>C25+C26</f>
        <v>14864330</v>
      </c>
      <c r="D27" s="159">
        <f>D25+D26</f>
        <v>17920093</v>
      </c>
      <c r="E27" s="159">
        <f>E25+E26</f>
        <v>17920093</v>
      </c>
      <c r="F27" s="159">
        <f>F25+F26</f>
        <v>19162084</v>
      </c>
      <c r="G27" s="147">
        <f t="shared" si="1"/>
        <v>1241991</v>
      </c>
      <c r="H27" s="160" t="s">
        <v>175</v>
      </c>
      <c r="I27" s="159">
        <f>I25+I26</f>
        <v>14466956</v>
      </c>
      <c r="J27" s="159">
        <f>J25+J26</f>
        <v>25113795</v>
      </c>
      <c r="K27" s="159">
        <f>K25+K26</f>
        <v>31571416</v>
      </c>
      <c r="L27" s="159">
        <f>L25+L26</f>
        <v>31751416</v>
      </c>
      <c r="M27" s="159">
        <f>M25+M26</f>
        <v>31751416</v>
      </c>
      <c r="N27" s="145">
        <f t="shared" si="0"/>
        <v>0</v>
      </c>
    </row>
    <row r="28" spans="1:14" x14ac:dyDescent="0.25">
      <c r="B28" s="139">
        <f>B27+B16</f>
        <v>71854824</v>
      </c>
      <c r="C28" s="139">
        <f>C27+C16</f>
        <v>89697699</v>
      </c>
      <c r="D28" s="139">
        <f>D27+D16</f>
        <v>106912295</v>
      </c>
      <c r="E28" s="139">
        <f>E27+E16</f>
        <v>107534595</v>
      </c>
      <c r="F28" s="139">
        <f>F27+F16</f>
        <v>111154437</v>
      </c>
      <c r="G28" s="147">
        <f t="shared" si="1"/>
        <v>3619842</v>
      </c>
      <c r="I28" s="139">
        <f>I27+I16</f>
        <v>71094824</v>
      </c>
      <c r="J28" s="139">
        <f>J27+J16</f>
        <v>88937699</v>
      </c>
      <c r="K28" s="139">
        <f>K27+K16</f>
        <v>106912295</v>
      </c>
      <c r="L28" s="139">
        <f>L27+L16</f>
        <v>107534595</v>
      </c>
      <c r="M28" s="139">
        <f>M27+M16</f>
        <v>111154437</v>
      </c>
      <c r="N28" s="145">
        <f t="shared" si="0"/>
        <v>3619842</v>
      </c>
    </row>
    <row r="29" spans="1:14" ht="15.75" customHeight="1" thickBot="1" x14ac:dyDescent="0.3">
      <c r="A29" s="362" t="s">
        <v>350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</row>
    <row r="30" spans="1:14" s="138" customFormat="1" ht="31.5" x14ac:dyDescent="0.25">
      <c r="A30" s="140" t="s">
        <v>99</v>
      </c>
      <c r="B30" s="37" t="s">
        <v>352</v>
      </c>
      <c r="C30" s="51" t="s">
        <v>321</v>
      </c>
      <c r="D30" s="282" t="s">
        <v>370</v>
      </c>
      <c r="E30" s="321"/>
      <c r="F30" s="331"/>
      <c r="G30" s="51" t="s">
        <v>322</v>
      </c>
      <c r="H30" s="141" t="s">
        <v>100</v>
      </c>
      <c r="I30" s="37" t="s">
        <v>352</v>
      </c>
      <c r="J30" s="51" t="s">
        <v>321</v>
      </c>
      <c r="K30" s="284" t="s">
        <v>370</v>
      </c>
      <c r="L30" s="284"/>
      <c r="M30" s="284"/>
      <c r="N30" s="52" t="s">
        <v>322</v>
      </c>
    </row>
    <row r="31" spans="1:14" ht="31.5" x14ac:dyDescent="0.25">
      <c r="A31" s="142" t="s">
        <v>158</v>
      </c>
      <c r="B31" s="143"/>
      <c r="C31" s="143"/>
      <c r="D31" s="143"/>
      <c r="E31" s="143"/>
      <c r="F31" s="143"/>
      <c r="G31" s="143"/>
      <c r="H31" s="144" t="s">
        <v>15</v>
      </c>
      <c r="I31" s="147"/>
      <c r="J31" s="147"/>
      <c r="K31" s="286"/>
      <c r="L31" s="286"/>
      <c r="M31" s="286"/>
      <c r="N31" s="149"/>
    </row>
    <row r="32" spans="1:14" ht="63" x14ac:dyDescent="0.25">
      <c r="A32" s="146" t="s">
        <v>159</v>
      </c>
      <c r="B32" s="147"/>
      <c r="C32" s="147"/>
      <c r="D32" s="147"/>
      <c r="E32" s="147"/>
      <c r="F32" s="147"/>
      <c r="G32" s="147"/>
      <c r="H32" s="148" t="s">
        <v>90</v>
      </c>
      <c r="I32" s="147"/>
      <c r="J32" s="147"/>
      <c r="K32" s="286"/>
      <c r="L32" s="286"/>
      <c r="M32" s="286"/>
      <c r="N32" s="149"/>
    </row>
    <row r="33" spans="1:14" ht="31.5" x14ac:dyDescent="0.25">
      <c r="A33" s="150" t="s">
        <v>102</v>
      </c>
      <c r="B33" s="147"/>
      <c r="C33" s="147"/>
      <c r="D33" s="147"/>
      <c r="E33" s="147"/>
      <c r="F33" s="147"/>
      <c r="G33" s="147"/>
      <c r="H33" s="148" t="s">
        <v>87</v>
      </c>
      <c r="I33" s="147"/>
      <c r="J33" s="147"/>
      <c r="K33" s="286"/>
      <c r="L33" s="286"/>
      <c r="M33" s="286"/>
      <c r="N33" s="149"/>
    </row>
    <row r="34" spans="1:14" ht="31.5" x14ac:dyDescent="0.25">
      <c r="A34" s="150" t="s">
        <v>103</v>
      </c>
      <c r="B34" s="147">
        <f>'2.tábla'!B47</f>
        <v>0</v>
      </c>
      <c r="C34" s="147"/>
      <c r="D34" s="147"/>
      <c r="E34" s="147"/>
      <c r="F34" s="147"/>
      <c r="G34" s="147"/>
      <c r="H34" s="148" t="s">
        <v>88</v>
      </c>
      <c r="I34" s="147"/>
      <c r="J34" s="147"/>
      <c r="K34" s="286"/>
      <c r="L34" s="286"/>
      <c r="M34" s="286"/>
      <c r="N34" s="149"/>
    </row>
    <row r="35" spans="1:14" ht="63" x14ac:dyDescent="0.25">
      <c r="A35" s="123" t="s">
        <v>105</v>
      </c>
      <c r="B35" s="147"/>
      <c r="C35" s="147"/>
      <c r="D35" s="147"/>
      <c r="E35" s="147"/>
      <c r="F35" s="147"/>
      <c r="G35" s="147"/>
      <c r="H35" s="148" t="s">
        <v>91</v>
      </c>
      <c r="I35" s="147"/>
      <c r="J35" s="147"/>
      <c r="K35" s="286"/>
      <c r="L35" s="286"/>
      <c r="M35" s="286"/>
      <c r="N35" s="149"/>
    </row>
    <row r="36" spans="1:14" ht="47.25" x14ac:dyDescent="0.25">
      <c r="A36" s="150"/>
      <c r="B36" s="147"/>
      <c r="C36" s="147"/>
      <c r="D36" s="147"/>
      <c r="E36" s="147"/>
      <c r="F36" s="147"/>
      <c r="G36" s="147"/>
      <c r="H36" s="148" t="s">
        <v>89</v>
      </c>
      <c r="I36" s="147"/>
      <c r="J36" s="147"/>
      <c r="K36" s="286"/>
      <c r="L36" s="286"/>
      <c r="M36" s="286"/>
      <c r="N36" s="149"/>
    </row>
    <row r="37" spans="1:14" ht="31.5" x14ac:dyDescent="0.25">
      <c r="A37" s="150"/>
      <c r="B37" s="147"/>
      <c r="C37" s="147"/>
      <c r="D37" s="147"/>
      <c r="E37" s="147"/>
      <c r="F37" s="147"/>
      <c r="G37" s="147"/>
      <c r="H37" s="124" t="s">
        <v>226</v>
      </c>
      <c r="I37" s="147"/>
      <c r="J37" s="147"/>
      <c r="K37" s="286"/>
      <c r="L37" s="286"/>
      <c r="M37" s="286"/>
      <c r="N37" s="149"/>
    </row>
    <row r="38" spans="1:14" ht="47.25" x14ac:dyDescent="0.25">
      <c r="A38" s="150"/>
      <c r="B38" s="147"/>
      <c r="C38" s="147"/>
      <c r="D38" s="147"/>
      <c r="E38" s="147"/>
      <c r="F38" s="147"/>
      <c r="G38" s="147"/>
      <c r="H38" s="124" t="s">
        <v>335</v>
      </c>
      <c r="I38" s="147"/>
      <c r="J38" s="147"/>
      <c r="K38" s="286"/>
      <c r="L38" s="286"/>
      <c r="M38" s="286"/>
      <c r="N38" s="149"/>
    </row>
    <row r="39" spans="1:14" ht="47.25" x14ac:dyDescent="0.25">
      <c r="A39" s="146"/>
      <c r="B39" s="151"/>
      <c r="C39" s="151"/>
      <c r="D39" s="151"/>
      <c r="E39" s="151"/>
      <c r="F39" s="151"/>
      <c r="G39" s="151"/>
      <c r="H39" s="124" t="s">
        <v>336</v>
      </c>
      <c r="I39" s="147"/>
      <c r="J39" s="147"/>
      <c r="K39" s="286"/>
      <c r="L39" s="286"/>
      <c r="M39" s="286"/>
      <c r="N39" s="149"/>
    </row>
    <row r="40" spans="1:14" ht="30" customHeight="1" x14ac:dyDescent="0.25">
      <c r="A40" s="123"/>
      <c r="B40" s="147"/>
      <c r="C40" s="147"/>
      <c r="D40" s="147"/>
      <c r="E40" s="147"/>
      <c r="F40" s="147"/>
      <c r="G40" s="147"/>
      <c r="H40" s="124" t="s">
        <v>229</v>
      </c>
      <c r="I40" s="147">
        <f>'4.tábla'!B9</f>
        <v>760000</v>
      </c>
      <c r="J40" s="147">
        <v>760000</v>
      </c>
      <c r="K40" s="147">
        <v>760000</v>
      </c>
      <c r="L40" s="286"/>
      <c r="M40" s="286"/>
      <c r="N40" s="149">
        <f>K40-J40</f>
        <v>0</v>
      </c>
    </row>
    <row r="41" spans="1:14" ht="47.25" x14ac:dyDescent="0.25">
      <c r="A41" s="150"/>
      <c r="B41" s="147"/>
      <c r="C41" s="147"/>
      <c r="D41" s="147"/>
      <c r="E41" s="147"/>
      <c r="F41" s="147"/>
      <c r="G41" s="147"/>
      <c r="H41" s="124" t="s">
        <v>221</v>
      </c>
      <c r="I41" s="147"/>
      <c r="J41" s="147"/>
      <c r="K41" s="286"/>
      <c r="L41" s="286"/>
      <c r="M41" s="286"/>
      <c r="N41" s="149">
        <f t="shared" ref="N41:N44" si="3">K41-J41</f>
        <v>0</v>
      </c>
    </row>
    <row r="42" spans="1:14" ht="94.5" x14ac:dyDescent="0.25">
      <c r="A42" s="142" t="s">
        <v>176</v>
      </c>
      <c r="B42" s="152">
        <f>SUM(B32:B41)</f>
        <v>0</v>
      </c>
      <c r="C42" s="152"/>
      <c r="D42" s="152"/>
      <c r="E42" s="152"/>
      <c r="F42" s="152"/>
      <c r="G42" s="152"/>
      <c r="H42" s="144" t="s">
        <v>177</v>
      </c>
      <c r="I42" s="152">
        <f>SUM(I32:I41)</f>
        <v>760000</v>
      </c>
      <c r="J42" s="152">
        <f>SUM(J32:J41)</f>
        <v>760000</v>
      </c>
      <c r="K42" s="152">
        <f>SUM(K32:K41)</f>
        <v>760000</v>
      </c>
      <c r="L42" s="287"/>
      <c r="M42" s="287"/>
      <c r="N42" s="149">
        <f t="shared" si="3"/>
        <v>0</v>
      </c>
    </row>
    <row r="43" spans="1:14" ht="31.5" x14ac:dyDescent="0.25">
      <c r="A43" s="155" t="s">
        <v>162</v>
      </c>
      <c r="B43" s="147"/>
      <c r="C43" s="147"/>
      <c r="D43" s="147"/>
      <c r="E43" s="147"/>
      <c r="F43" s="147"/>
      <c r="G43" s="147"/>
      <c r="H43" s="156" t="s">
        <v>163</v>
      </c>
      <c r="I43" s="147"/>
      <c r="J43" s="147"/>
      <c r="K43" s="286"/>
      <c r="L43" s="286"/>
      <c r="M43" s="286"/>
      <c r="N43" s="149">
        <f t="shared" si="3"/>
        <v>0</v>
      </c>
    </row>
    <row r="44" spans="1:14" ht="126" x14ac:dyDescent="0.25">
      <c r="A44" s="142" t="s">
        <v>178</v>
      </c>
      <c r="B44" s="152">
        <f>B42+B43</f>
        <v>0</v>
      </c>
      <c r="C44" s="152"/>
      <c r="D44" s="152"/>
      <c r="E44" s="152"/>
      <c r="F44" s="152"/>
      <c r="G44" s="152"/>
      <c r="H44" s="144" t="s">
        <v>179</v>
      </c>
      <c r="I44" s="152">
        <f>I42+I43</f>
        <v>760000</v>
      </c>
      <c r="J44" s="152">
        <f>J42+J43</f>
        <v>760000</v>
      </c>
      <c r="K44" s="152">
        <f>K42+K43</f>
        <v>760000</v>
      </c>
      <c r="L44" s="287"/>
      <c r="M44" s="287"/>
      <c r="N44" s="149">
        <f t="shared" si="3"/>
        <v>0</v>
      </c>
    </row>
    <row r="45" spans="1:14" ht="31.5" x14ac:dyDescent="0.25">
      <c r="A45" s="142" t="s">
        <v>166</v>
      </c>
      <c r="B45" s="152"/>
      <c r="C45" s="152"/>
      <c r="D45" s="152"/>
      <c r="E45" s="152"/>
      <c r="F45" s="152"/>
      <c r="G45" s="152"/>
      <c r="H45" s="152" t="s">
        <v>16</v>
      </c>
      <c r="I45" s="147"/>
      <c r="J45" s="147"/>
      <c r="K45" s="286"/>
      <c r="L45" s="286"/>
      <c r="M45" s="286"/>
      <c r="N45" s="149">
        <f t="shared" ref="N45:N56" si="4">J45-I45</f>
        <v>0</v>
      </c>
    </row>
    <row r="46" spans="1:14" ht="63" x14ac:dyDescent="0.25">
      <c r="A46" s="123" t="s">
        <v>118</v>
      </c>
      <c r="B46" s="147"/>
      <c r="C46" s="147"/>
      <c r="D46" s="147"/>
      <c r="E46" s="147"/>
      <c r="F46" s="147"/>
      <c r="G46" s="147"/>
      <c r="H46" s="148" t="s">
        <v>119</v>
      </c>
      <c r="I46" s="147"/>
      <c r="J46" s="147"/>
      <c r="K46" s="286"/>
      <c r="L46" s="286"/>
      <c r="M46" s="286"/>
      <c r="N46" s="149">
        <f t="shared" si="4"/>
        <v>0</v>
      </c>
    </row>
    <row r="47" spans="1:14" ht="47.25" x14ac:dyDescent="0.25">
      <c r="A47" s="126" t="s">
        <v>167</v>
      </c>
      <c r="B47" s="147">
        <f>'2.tábla'!B58</f>
        <v>0</v>
      </c>
      <c r="C47" s="147"/>
      <c r="D47" s="147"/>
      <c r="E47" s="147"/>
      <c r="F47" s="147"/>
      <c r="G47" s="147"/>
      <c r="H47" s="148" t="s">
        <v>121</v>
      </c>
      <c r="I47" s="147"/>
      <c r="J47" s="147"/>
      <c r="K47" s="286"/>
      <c r="L47" s="286"/>
      <c r="M47" s="286"/>
      <c r="N47" s="149">
        <f t="shared" si="4"/>
        <v>0</v>
      </c>
    </row>
    <row r="48" spans="1:14" ht="47.25" x14ac:dyDescent="0.25">
      <c r="A48" s="126" t="s">
        <v>168</v>
      </c>
      <c r="B48" s="147">
        <f>'2.tábla'!B67</f>
        <v>0</v>
      </c>
      <c r="C48" s="147"/>
      <c r="D48" s="147"/>
      <c r="E48" s="147"/>
      <c r="F48" s="147"/>
      <c r="G48" s="147"/>
      <c r="H48" s="148" t="s">
        <v>123</v>
      </c>
      <c r="I48" s="147"/>
      <c r="J48" s="147"/>
      <c r="K48" s="286"/>
      <c r="L48" s="286"/>
      <c r="M48" s="286"/>
      <c r="N48" s="149">
        <f t="shared" si="4"/>
        <v>0</v>
      </c>
    </row>
    <row r="49" spans="1:14" ht="47.25" x14ac:dyDescent="0.25">
      <c r="A49" s="150"/>
      <c r="B49" s="147"/>
      <c r="C49" s="147"/>
      <c r="D49" s="147"/>
      <c r="E49" s="147"/>
      <c r="F49" s="147"/>
      <c r="G49" s="147"/>
      <c r="H49" s="148" t="s">
        <v>169</v>
      </c>
      <c r="I49" s="147"/>
      <c r="J49" s="147"/>
      <c r="K49" s="286"/>
      <c r="L49" s="286"/>
      <c r="M49" s="286"/>
      <c r="N49" s="149">
        <f t="shared" si="4"/>
        <v>0</v>
      </c>
    </row>
    <row r="50" spans="1:14" ht="63" x14ac:dyDescent="0.25">
      <c r="A50" s="150"/>
      <c r="B50" s="147"/>
      <c r="C50" s="147"/>
      <c r="D50" s="147"/>
      <c r="E50" s="147"/>
      <c r="F50" s="147"/>
      <c r="G50" s="147"/>
      <c r="H50" s="148" t="s">
        <v>170</v>
      </c>
      <c r="I50" s="147"/>
      <c r="J50" s="147"/>
      <c r="K50" s="286"/>
      <c r="L50" s="286"/>
      <c r="M50" s="286"/>
      <c r="N50" s="149">
        <f t="shared" si="4"/>
        <v>0</v>
      </c>
    </row>
    <row r="51" spans="1:14" ht="63" x14ac:dyDescent="0.25">
      <c r="A51" s="150"/>
      <c r="B51" s="147"/>
      <c r="C51" s="147"/>
      <c r="D51" s="147"/>
      <c r="E51" s="147"/>
      <c r="F51" s="147"/>
      <c r="G51" s="147"/>
      <c r="H51" s="157" t="s">
        <v>171</v>
      </c>
      <c r="I51" s="147"/>
      <c r="J51" s="147"/>
      <c r="K51" s="286"/>
      <c r="L51" s="286"/>
      <c r="M51" s="286"/>
      <c r="N51" s="149">
        <f t="shared" si="4"/>
        <v>0</v>
      </c>
    </row>
    <row r="52" spans="1:14" ht="28.5" customHeight="1" x14ac:dyDescent="0.25">
      <c r="A52" s="155"/>
      <c r="B52" s="147"/>
      <c r="C52" s="147"/>
      <c r="D52" s="147"/>
      <c r="E52" s="147"/>
      <c r="F52" s="147"/>
      <c r="G52" s="147"/>
      <c r="H52" s="124" t="s">
        <v>234</v>
      </c>
      <c r="I52" s="147"/>
      <c r="J52" s="147"/>
      <c r="K52" s="286"/>
      <c r="L52" s="286"/>
      <c r="M52" s="286"/>
      <c r="N52" s="149">
        <f t="shared" si="4"/>
        <v>0</v>
      </c>
    </row>
    <row r="53" spans="1:14" ht="27" customHeight="1" x14ac:dyDescent="0.25">
      <c r="A53" s="155"/>
      <c r="B53" s="147"/>
      <c r="C53" s="147"/>
      <c r="D53" s="147"/>
      <c r="E53" s="147"/>
      <c r="F53" s="147"/>
      <c r="G53" s="147"/>
      <c r="H53" s="124" t="s">
        <v>172</v>
      </c>
      <c r="I53" s="147"/>
      <c r="J53" s="147"/>
      <c r="K53" s="286"/>
      <c r="L53" s="286"/>
      <c r="M53" s="286"/>
      <c r="N53" s="149">
        <f t="shared" si="4"/>
        <v>0</v>
      </c>
    </row>
    <row r="54" spans="1:14" ht="94.5" x14ac:dyDescent="0.25">
      <c r="A54" s="142" t="s">
        <v>180</v>
      </c>
      <c r="B54" s="152">
        <f>SUM(B46:B52)</f>
        <v>0</v>
      </c>
      <c r="C54" s="152"/>
      <c r="D54" s="152"/>
      <c r="E54" s="152"/>
      <c r="F54" s="152"/>
      <c r="G54" s="152"/>
      <c r="H54" s="144" t="s">
        <v>181</v>
      </c>
      <c r="I54" s="152">
        <f>SUM(I46:I53)</f>
        <v>0</v>
      </c>
      <c r="J54" s="152">
        <f>SUM(J46:J53)</f>
        <v>0</v>
      </c>
      <c r="K54" s="287"/>
      <c r="L54" s="287"/>
      <c r="M54" s="287"/>
      <c r="N54" s="153">
        <f t="shared" si="4"/>
        <v>0</v>
      </c>
    </row>
    <row r="55" spans="1:14" ht="31.5" x14ac:dyDescent="0.25">
      <c r="A55" s="155" t="s">
        <v>162</v>
      </c>
      <c r="B55" s="147">
        <f>'2.tábla'!B75</f>
        <v>0</v>
      </c>
      <c r="C55" s="147"/>
      <c r="D55" s="147"/>
      <c r="E55" s="147"/>
      <c r="F55" s="147"/>
      <c r="G55" s="147"/>
      <c r="H55" s="156" t="s">
        <v>163</v>
      </c>
      <c r="I55" s="147"/>
      <c r="J55" s="147"/>
      <c r="K55" s="286"/>
      <c r="L55" s="286"/>
      <c r="M55" s="286"/>
      <c r="N55" s="149">
        <f t="shared" si="4"/>
        <v>0</v>
      </c>
    </row>
    <row r="56" spans="1:14" ht="126.75" thickBot="1" x14ac:dyDescent="0.3">
      <c r="A56" s="158" t="s">
        <v>182</v>
      </c>
      <c r="B56" s="159">
        <f>B54+B55</f>
        <v>0</v>
      </c>
      <c r="C56" s="159"/>
      <c r="D56" s="159"/>
      <c r="E56" s="159"/>
      <c r="F56" s="159"/>
      <c r="G56" s="159"/>
      <c r="H56" s="160" t="s">
        <v>183</v>
      </c>
      <c r="I56" s="159">
        <f>I54+I55</f>
        <v>0</v>
      </c>
      <c r="J56" s="159">
        <f>J54+J55</f>
        <v>0</v>
      </c>
      <c r="K56" s="288"/>
      <c r="L56" s="288"/>
      <c r="M56" s="288"/>
      <c r="N56" s="153">
        <f t="shared" si="4"/>
        <v>0</v>
      </c>
    </row>
    <row r="57" spans="1:14" ht="15.75" customHeight="1" thickBot="1" x14ac:dyDescent="0.3">
      <c r="A57" s="362" t="s">
        <v>351</v>
      </c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 x14ac:dyDescent="0.25">
      <c r="A58" s="257"/>
      <c r="B58" s="258"/>
      <c r="C58" s="258"/>
      <c r="D58" s="258"/>
      <c r="E58" s="258"/>
      <c r="F58" s="258"/>
      <c r="G58" s="258"/>
      <c r="H58" s="258"/>
      <c r="I58" s="258"/>
      <c r="J58" s="258"/>
      <c r="K58" s="289"/>
      <c r="L58" s="289"/>
      <c r="M58" s="289"/>
      <c r="N58" s="259"/>
    </row>
    <row r="59" spans="1:14" s="138" customFormat="1" ht="31.5" x14ac:dyDescent="0.25">
      <c r="A59" s="142" t="s">
        <v>99</v>
      </c>
      <c r="B59" s="196" t="s">
        <v>352</v>
      </c>
      <c r="C59" s="197" t="s">
        <v>321</v>
      </c>
      <c r="D59" s="283" t="s">
        <v>370</v>
      </c>
      <c r="E59" s="322"/>
      <c r="F59" s="332"/>
      <c r="G59" s="197" t="s">
        <v>322</v>
      </c>
      <c r="H59" s="144" t="s">
        <v>100</v>
      </c>
      <c r="I59" s="196" t="s">
        <v>352</v>
      </c>
      <c r="J59" s="197" t="s">
        <v>321</v>
      </c>
      <c r="K59" s="290" t="s">
        <v>370</v>
      </c>
      <c r="L59" s="290"/>
      <c r="M59" s="290"/>
      <c r="N59" s="260" t="s">
        <v>322</v>
      </c>
    </row>
    <row r="60" spans="1:14" ht="31.5" x14ac:dyDescent="0.25">
      <c r="A60" s="142" t="s">
        <v>158</v>
      </c>
      <c r="B60" s="143"/>
      <c r="C60" s="143"/>
      <c r="D60" s="143"/>
      <c r="E60" s="143"/>
      <c r="F60" s="143"/>
      <c r="G60" s="143"/>
      <c r="H60" s="144"/>
      <c r="I60" s="147"/>
      <c r="J60" s="147"/>
      <c r="K60" s="286"/>
      <c r="L60" s="286"/>
      <c r="M60" s="286"/>
      <c r="N60" s="149"/>
    </row>
    <row r="61" spans="1:14" ht="63" x14ac:dyDescent="0.25">
      <c r="A61" s="146" t="s">
        <v>159</v>
      </c>
      <c r="B61" s="147"/>
      <c r="C61" s="147"/>
      <c r="D61" s="147"/>
      <c r="E61" s="147"/>
      <c r="F61" s="147"/>
      <c r="G61" s="143"/>
      <c r="H61" s="148" t="s">
        <v>90</v>
      </c>
      <c r="I61" s="147"/>
      <c r="J61" s="147"/>
      <c r="K61" s="286"/>
      <c r="L61" s="286"/>
      <c r="M61" s="286"/>
      <c r="N61" s="149"/>
    </row>
    <row r="62" spans="1:14" ht="31.5" x14ac:dyDescent="0.25">
      <c r="A62" s="150" t="s">
        <v>102</v>
      </c>
      <c r="B62" s="147"/>
      <c r="C62" s="147"/>
      <c r="D62" s="147"/>
      <c r="E62" s="147"/>
      <c r="F62" s="147"/>
      <c r="G62" s="143"/>
      <c r="H62" s="148" t="s">
        <v>87</v>
      </c>
      <c r="I62" s="147"/>
      <c r="J62" s="147"/>
      <c r="K62" s="286"/>
      <c r="L62" s="286"/>
      <c r="M62" s="286"/>
      <c r="N62" s="149"/>
    </row>
    <row r="63" spans="1:14" ht="31.5" x14ac:dyDescent="0.25">
      <c r="A63" s="150" t="s">
        <v>103</v>
      </c>
      <c r="B63" s="147"/>
      <c r="C63" s="147"/>
      <c r="D63" s="147"/>
      <c r="E63" s="147"/>
      <c r="F63" s="147"/>
      <c r="G63" s="143"/>
      <c r="H63" s="148" t="s">
        <v>104</v>
      </c>
      <c r="I63" s="147"/>
      <c r="J63" s="147"/>
      <c r="K63" s="286"/>
      <c r="L63" s="286"/>
      <c r="M63" s="286"/>
      <c r="N63" s="149"/>
    </row>
    <row r="64" spans="1:14" ht="63" x14ac:dyDescent="0.25">
      <c r="A64" s="123" t="s">
        <v>105</v>
      </c>
      <c r="B64" s="147"/>
      <c r="C64" s="147"/>
      <c r="D64" s="147"/>
      <c r="E64" s="147"/>
      <c r="F64" s="147"/>
      <c r="G64" s="143"/>
      <c r="H64" s="148" t="s">
        <v>91</v>
      </c>
      <c r="I64" s="147"/>
      <c r="J64" s="147"/>
      <c r="K64" s="286"/>
      <c r="L64" s="286"/>
      <c r="M64" s="286"/>
      <c r="N64" s="149"/>
    </row>
    <row r="65" spans="1:14" ht="47.25" x14ac:dyDescent="0.25">
      <c r="A65" s="150"/>
      <c r="B65" s="147"/>
      <c r="C65" s="147"/>
      <c r="D65" s="147"/>
      <c r="E65" s="147"/>
      <c r="F65" s="147"/>
      <c r="G65" s="143"/>
      <c r="H65" s="148" t="s">
        <v>89</v>
      </c>
      <c r="I65" s="147"/>
      <c r="J65" s="147"/>
      <c r="K65" s="286"/>
      <c r="L65" s="286"/>
      <c r="M65" s="286"/>
      <c r="N65" s="149"/>
    </row>
    <row r="66" spans="1:14" ht="31.5" x14ac:dyDescent="0.25">
      <c r="A66" s="150"/>
      <c r="B66" s="147"/>
      <c r="C66" s="147"/>
      <c r="D66" s="147"/>
      <c r="E66" s="147"/>
      <c r="F66" s="147"/>
      <c r="G66" s="143"/>
      <c r="H66" s="124" t="s">
        <v>226</v>
      </c>
      <c r="I66" s="147"/>
      <c r="J66" s="147"/>
      <c r="K66" s="286"/>
      <c r="L66" s="286"/>
      <c r="M66" s="286"/>
      <c r="N66" s="149"/>
    </row>
    <row r="67" spans="1:14" ht="63" x14ac:dyDescent="0.25">
      <c r="A67" s="150"/>
      <c r="B67" s="147"/>
      <c r="C67" s="147"/>
      <c r="D67" s="147"/>
      <c r="E67" s="147"/>
      <c r="F67" s="147"/>
      <c r="G67" s="143"/>
      <c r="H67" s="124" t="s">
        <v>227</v>
      </c>
      <c r="I67" s="147"/>
      <c r="J67" s="147"/>
      <c r="K67" s="286"/>
      <c r="L67" s="286"/>
      <c r="M67" s="286"/>
      <c r="N67" s="149"/>
    </row>
    <row r="68" spans="1:14" ht="63" x14ac:dyDescent="0.25">
      <c r="A68" s="146"/>
      <c r="B68" s="151"/>
      <c r="C68" s="151"/>
      <c r="D68" s="151"/>
      <c r="E68" s="151"/>
      <c r="F68" s="151"/>
      <c r="G68" s="143"/>
      <c r="H68" s="124" t="s">
        <v>228</v>
      </c>
      <c r="I68" s="147"/>
      <c r="J68" s="147"/>
      <c r="K68" s="286"/>
      <c r="L68" s="286"/>
      <c r="M68" s="286"/>
      <c r="N68" s="149"/>
    </row>
    <row r="69" spans="1:14" ht="110.25" x14ac:dyDescent="0.25">
      <c r="A69" s="123"/>
      <c r="B69" s="147"/>
      <c r="C69" s="147"/>
      <c r="D69" s="147"/>
      <c r="E69" s="147"/>
      <c r="F69" s="147"/>
      <c r="G69" s="143"/>
      <c r="H69" s="124" t="s">
        <v>229</v>
      </c>
      <c r="I69" s="147"/>
      <c r="J69" s="147"/>
      <c r="K69" s="286"/>
      <c r="L69" s="286"/>
      <c r="M69" s="286"/>
      <c r="N69" s="149"/>
    </row>
    <row r="70" spans="1:14" ht="47.25" x14ac:dyDescent="0.25">
      <c r="A70" s="150"/>
      <c r="B70" s="147"/>
      <c r="C70" s="147"/>
      <c r="D70" s="147"/>
      <c r="E70" s="147"/>
      <c r="F70" s="147"/>
      <c r="G70" s="143"/>
      <c r="H70" s="124" t="s">
        <v>221</v>
      </c>
      <c r="I70" s="147"/>
      <c r="J70" s="147"/>
      <c r="K70" s="286"/>
      <c r="L70" s="286"/>
      <c r="M70" s="286"/>
      <c r="N70" s="149"/>
    </row>
    <row r="71" spans="1:14" ht="110.25" x14ac:dyDescent="0.25">
      <c r="A71" s="142" t="s">
        <v>184</v>
      </c>
      <c r="B71" s="152"/>
      <c r="C71" s="152"/>
      <c r="D71" s="152"/>
      <c r="E71" s="152"/>
      <c r="F71" s="152"/>
      <c r="G71" s="143"/>
      <c r="H71" s="144" t="s">
        <v>185</v>
      </c>
      <c r="I71" s="152">
        <f>SUM(I61:I70)</f>
        <v>0</v>
      </c>
      <c r="J71" s="147"/>
      <c r="K71" s="286"/>
      <c r="L71" s="286"/>
      <c r="M71" s="286"/>
      <c r="N71" s="149"/>
    </row>
    <row r="72" spans="1:14" ht="31.5" x14ac:dyDescent="0.25">
      <c r="A72" s="155" t="s">
        <v>162</v>
      </c>
      <c r="B72" s="147"/>
      <c r="C72" s="147"/>
      <c r="D72" s="147"/>
      <c r="E72" s="147"/>
      <c r="F72" s="147"/>
      <c r="G72" s="143"/>
      <c r="H72" s="156" t="s">
        <v>163</v>
      </c>
      <c r="I72" s="147"/>
      <c r="J72" s="147"/>
      <c r="K72" s="286"/>
      <c r="L72" s="286"/>
      <c r="M72" s="286"/>
      <c r="N72" s="149"/>
    </row>
    <row r="73" spans="1:14" ht="141.75" x14ac:dyDescent="0.25">
      <c r="A73" s="142" t="s">
        <v>186</v>
      </c>
      <c r="B73" s="152"/>
      <c r="C73" s="152"/>
      <c r="D73" s="152"/>
      <c r="E73" s="152"/>
      <c r="F73" s="152"/>
      <c r="G73" s="143"/>
      <c r="H73" s="144" t="s">
        <v>187</v>
      </c>
      <c r="I73" s="152">
        <f>I71+I72</f>
        <v>0</v>
      </c>
      <c r="J73" s="147"/>
      <c r="K73" s="286"/>
      <c r="L73" s="286"/>
      <c r="M73" s="286"/>
      <c r="N73" s="149"/>
    </row>
    <row r="74" spans="1:14" ht="31.5" x14ac:dyDescent="0.25">
      <c r="A74" s="142" t="s">
        <v>166</v>
      </c>
      <c r="B74" s="152"/>
      <c r="C74" s="152"/>
      <c r="D74" s="152"/>
      <c r="E74" s="152"/>
      <c r="F74" s="152"/>
      <c r="G74" s="143"/>
      <c r="H74" s="152" t="s">
        <v>16</v>
      </c>
      <c r="I74" s="147"/>
      <c r="J74" s="147"/>
      <c r="K74" s="286"/>
      <c r="L74" s="286"/>
      <c r="M74" s="286"/>
      <c r="N74" s="149"/>
    </row>
    <row r="75" spans="1:14" ht="63" x14ac:dyDescent="0.25">
      <c r="A75" s="123" t="s">
        <v>118</v>
      </c>
      <c r="B75" s="152"/>
      <c r="C75" s="152"/>
      <c r="D75" s="152"/>
      <c r="E75" s="152"/>
      <c r="F75" s="152"/>
      <c r="G75" s="143"/>
      <c r="H75" s="148" t="s">
        <v>119</v>
      </c>
      <c r="I75" s="147"/>
      <c r="J75" s="147"/>
      <c r="K75" s="286"/>
      <c r="L75" s="286"/>
      <c r="M75" s="286"/>
      <c r="N75" s="149"/>
    </row>
    <row r="76" spans="1:14" ht="47.25" x14ac:dyDescent="0.25">
      <c r="A76" s="126" t="s">
        <v>167</v>
      </c>
      <c r="B76" s="147"/>
      <c r="C76" s="147"/>
      <c r="D76" s="147"/>
      <c r="E76" s="147"/>
      <c r="F76" s="147"/>
      <c r="G76" s="143"/>
      <c r="H76" s="148" t="s">
        <v>121</v>
      </c>
      <c r="I76" s="147"/>
      <c r="J76" s="147"/>
      <c r="K76" s="286"/>
      <c r="L76" s="286"/>
      <c r="M76" s="286"/>
      <c r="N76" s="149"/>
    </row>
    <row r="77" spans="1:14" ht="47.25" x14ac:dyDescent="0.25">
      <c r="A77" s="126" t="s">
        <v>168</v>
      </c>
      <c r="B77" s="144"/>
      <c r="C77" s="144"/>
      <c r="D77" s="144"/>
      <c r="E77" s="144"/>
      <c r="F77" s="144"/>
      <c r="G77" s="143"/>
      <c r="H77" s="148" t="s">
        <v>123</v>
      </c>
      <c r="I77" s="147"/>
      <c r="J77" s="147"/>
      <c r="K77" s="286"/>
      <c r="L77" s="286"/>
      <c r="M77" s="286"/>
      <c r="N77" s="149"/>
    </row>
    <row r="78" spans="1:14" ht="47.25" x14ac:dyDescent="0.25">
      <c r="A78" s="150"/>
      <c r="B78" s="147"/>
      <c r="C78" s="147"/>
      <c r="D78" s="147"/>
      <c r="E78" s="147"/>
      <c r="F78" s="147"/>
      <c r="G78" s="143"/>
      <c r="H78" s="148" t="s">
        <v>169</v>
      </c>
      <c r="I78" s="147"/>
      <c r="J78" s="147"/>
      <c r="K78" s="286"/>
      <c r="L78" s="286"/>
      <c r="M78" s="286"/>
      <c r="N78" s="149"/>
    </row>
    <row r="79" spans="1:14" ht="78.75" x14ac:dyDescent="0.25">
      <c r="A79" s="142" t="s">
        <v>180</v>
      </c>
      <c r="B79" s="152"/>
      <c r="C79" s="152"/>
      <c r="D79" s="152"/>
      <c r="E79" s="152"/>
      <c r="F79" s="152"/>
      <c r="G79" s="143"/>
      <c r="H79" s="148" t="s">
        <v>170</v>
      </c>
      <c r="I79" s="147"/>
      <c r="J79" s="147"/>
      <c r="K79" s="286"/>
      <c r="L79" s="286"/>
      <c r="M79" s="286"/>
      <c r="N79" s="149"/>
    </row>
    <row r="80" spans="1:14" ht="63" x14ac:dyDescent="0.25">
      <c r="A80" s="155" t="s">
        <v>162</v>
      </c>
      <c r="B80" s="147"/>
      <c r="C80" s="147"/>
      <c r="D80" s="147"/>
      <c r="E80" s="147"/>
      <c r="F80" s="147"/>
      <c r="G80" s="143"/>
      <c r="H80" s="157" t="s">
        <v>171</v>
      </c>
      <c r="I80" s="147"/>
      <c r="J80" s="147"/>
      <c r="K80" s="286"/>
      <c r="L80" s="286"/>
      <c r="M80" s="286"/>
      <c r="N80" s="149"/>
    </row>
    <row r="81" spans="1:14" ht="110.25" x14ac:dyDescent="0.25">
      <c r="A81" s="155"/>
      <c r="B81" s="147"/>
      <c r="C81" s="147"/>
      <c r="D81" s="147"/>
      <c r="E81" s="147"/>
      <c r="F81" s="147"/>
      <c r="G81" s="143"/>
      <c r="H81" s="124" t="s">
        <v>127</v>
      </c>
      <c r="I81" s="147"/>
      <c r="J81" s="147"/>
      <c r="K81" s="286"/>
      <c r="L81" s="286"/>
      <c r="M81" s="286"/>
      <c r="N81" s="149"/>
    </row>
    <row r="82" spans="1:14" ht="142.5" thickBot="1" x14ac:dyDescent="0.3">
      <c r="A82" s="158" t="s">
        <v>188</v>
      </c>
      <c r="B82" s="159"/>
      <c r="C82" s="159"/>
      <c r="D82" s="159"/>
      <c r="E82" s="159"/>
      <c r="F82" s="159"/>
      <c r="G82" s="261"/>
      <c r="H82" s="160" t="s">
        <v>189</v>
      </c>
      <c r="I82" s="159">
        <f>SUM(I75:I81)</f>
        <v>0</v>
      </c>
      <c r="J82" s="161"/>
      <c r="K82" s="291"/>
      <c r="L82" s="291"/>
      <c r="M82" s="291"/>
      <c r="N82" s="162"/>
    </row>
    <row r="83" spans="1:14" x14ac:dyDescent="0.25">
      <c r="B83" s="139">
        <f t="shared" ref="B83:G83" si="5">B82+B73+B56+B44+B27+B16</f>
        <v>71854824</v>
      </c>
      <c r="C83" s="139">
        <f t="shared" si="5"/>
        <v>89697699</v>
      </c>
      <c r="D83" s="139">
        <f t="shared" si="5"/>
        <v>106912295</v>
      </c>
      <c r="E83" s="139">
        <f t="shared" si="5"/>
        <v>107534595</v>
      </c>
      <c r="F83" s="139">
        <f t="shared" si="5"/>
        <v>111154437</v>
      </c>
      <c r="G83" s="139">
        <f t="shared" si="5"/>
        <v>3619842</v>
      </c>
      <c r="I83" s="139">
        <f t="shared" ref="I83:N83" si="6">I82+I73+I56+I44+I27+I16</f>
        <v>71854824</v>
      </c>
      <c r="J83" s="139">
        <f t="shared" si="6"/>
        <v>89697699</v>
      </c>
      <c r="K83" s="139">
        <f t="shared" si="6"/>
        <v>107672295</v>
      </c>
      <c r="L83" s="139">
        <f t="shared" si="6"/>
        <v>107534595</v>
      </c>
      <c r="M83" s="139">
        <f t="shared" si="6"/>
        <v>111154437</v>
      </c>
      <c r="N83" s="139">
        <f t="shared" si="6"/>
        <v>3619842</v>
      </c>
    </row>
    <row r="84" spans="1:14" ht="31.5" x14ac:dyDescent="0.25">
      <c r="A84" s="138" t="s">
        <v>235</v>
      </c>
      <c r="B84" s="139">
        <f>I83-B83</f>
        <v>0</v>
      </c>
    </row>
  </sheetData>
  <sheetProtection selectLockedCells="1" selectUnlockedCells="1"/>
  <mergeCells count="3">
    <mergeCell ref="A1:N1"/>
    <mergeCell ref="A29:N29"/>
    <mergeCell ref="A57:N57"/>
  </mergeCells>
  <phoneticPr fontId="21" type="noConversion"/>
  <printOptions horizontalCentered="1"/>
  <pageMargins left="0.15748031496062992" right="0.15748031496062992" top="0.75076923076923074" bottom="0.19685039370078741" header="0.11811023622047245" footer="0.51181102362204722"/>
  <pageSetup paperSize="9" scale="80" firstPageNumber="0" orientation="landscape" r:id="rId1"/>
  <headerFooter alignWithMargins="0">
    <oddHeader>&amp;C&amp;"Times New Roman,Normál"&amp;12 7. melléklet
Az önkormányzat 2018. évi költségvetéséről szóló 3/2019. (III. 14.) önkormányzati rendelethez</oddHeader>
  </headerFooter>
  <rowBreaks count="2" manualBreakCount="2">
    <brk id="28" max="7" man="1"/>
    <brk id="5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Layout" zoomScale="89" zoomScaleNormal="84" zoomScalePageLayoutView="89" workbookViewId="0">
      <selection activeCell="S15" sqref="S15"/>
    </sheetView>
  </sheetViews>
  <sheetFormatPr defaultRowHeight="12.75" x14ac:dyDescent="0.2"/>
  <cols>
    <col min="1" max="1" width="33.85546875" style="34" customWidth="1"/>
    <col min="2" max="2" width="13.140625" style="1" customWidth="1"/>
    <col min="3" max="11" width="11.140625" style="1" bestFit="1" customWidth="1"/>
    <col min="12" max="13" width="10.5703125" style="1" bestFit="1" customWidth="1"/>
    <col min="14" max="14" width="11.140625" style="2" bestFit="1" customWidth="1"/>
    <col min="15" max="15" width="13.5703125" style="1" customWidth="1"/>
    <col min="16" max="16" width="14.42578125" style="1" customWidth="1"/>
    <col min="17" max="17" width="11.7109375" style="1" bestFit="1" customWidth="1"/>
    <col min="18" max="256" width="9.140625" style="1"/>
    <col min="257" max="257" width="51" style="1" customWidth="1"/>
    <col min="258" max="259" width="11.85546875" style="1" bestFit="1" customWidth="1"/>
    <col min="260" max="265" width="13.28515625" style="1" bestFit="1" customWidth="1"/>
    <col min="266" max="266" width="16.140625" style="1" bestFit="1" customWidth="1"/>
    <col min="267" max="269" width="13.28515625" style="1" bestFit="1" customWidth="1"/>
    <col min="270" max="270" width="14.140625" style="1" bestFit="1" customWidth="1"/>
    <col min="271" max="512" width="9.140625" style="1"/>
    <col min="513" max="513" width="51" style="1" customWidth="1"/>
    <col min="514" max="515" width="11.85546875" style="1" bestFit="1" customWidth="1"/>
    <col min="516" max="521" width="13.28515625" style="1" bestFit="1" customWidth="1"/>
    <col min="522" max="522" width="16.140625" style="1" bestFit="1" customWidth="1"/>
    <col min="523" max="525" width="13.28515625" style="1" bestFit="1" customWidth="1"/>
    <col min="526" max="526" width="14.140625" style="1" bestFit="1" customWidth="1"/>
    <col min="527" max="768" width="9.140625" style="1"/>
    <col min="769" max="769" width="51" style="1" customWidth="1"/>
    <col min="770" max="771" width="11.85546875" style="1" bestFit="1" customWidth="1"/>
    <col min="772" max="777" width="13.28515625" style="1" bestFit="1" customWidth="1"/>
    <col min="778" max="778" width="16.140625" style="1" bestFit="1" customWidth="1"/>
    <col min="779" max="781" width="13.28515625" style="1" bestFit="1" customWidth="1"/>
    <col min="782" max="782" width="14.140625" style="1" bestFit="1" customWidth="1"/>
    <col min="783" max="1024" width="9.140625" style="1"/>
    <col min="1025" max="1025" width="51" style="1" customWidth="1"/>
    <col min="1026" max="1027" width="11.85546875" style="1" bestFit="1" customWidth="1"/>
    <col min="1028" max="1033" width="13.28515625" style="1" bestFit="1" customWidth="1"/>
    <col min="1034" max="1034" width="16.140625" style="1" bestFit="1" customWidth="1"/>
    <col min="1035" max="1037" width="13.28515625" style="1" bestFit="1" customWidth="1"/>
    <col min="1038" max="1038" width="14.140625" style="1" bestFit="1" customWidth="1"/>
    <col min="1039" max="1280" width="9.140625" style="1"/>
    <col min="1281" max="1281" width="51" style="1" customWidth="1"/>
    <col min="1282" max="1283" width="11.85546875" style="1" bestFit="1" customWidth="1"/>
    <col min="1284" max="1289" width="13.28515625" style="1" bestFit="1" customWidth="1"/>
    <col min="1290" max="1290" width="16.140625" style="1" bestFit="1" customWidth="1"/>
    <col min="1291" max="1293" width="13.28515625" style="1" bestFit="1" customWidth="1"/>
    <col min="1294" max="1294" width="14.140625" style="1" bestFit="1" customWidth="1"/>
    <col min="1295" max="1536" width="9.140625" style="1"/>
    <col min="1537" max="1537" width="51" style="1" customWidth="1"/>
    <col min="1538" max="1539" width="11.85546875" style="1" bestFit="1" customWidth="1"/>
    <col min="1540" max="1545" width="13.28515625" style="1" bestFit="1" customWidth="1"/>
    <col min="1546" max="1546" width="16.140625" style="1" bestFit="1" customWidth="1"/>
    <col min="1547" max="1549" width="13.28515625" style="1" bestFit="1" customWidth="1"/>
    <col min="1550" max="1550" width="14.140625" style="1" bestFit="1" customWidth="1"/>
    <col min="1551" max="1792" width="9.140625" style="1"/>
    <col min="1793" max="1793" width="51" style="1" customWidth="1"/>
    <col min="1794" max="1795" width="11.85546875" style="1" bestFit="1" customWidth="1"/>
    <col min="1796" max="1801" width="13.28515625" style="1" bestFit="1" customWidth="1"/>
    <col min="1802" max="1802" width="16.140625" style="1" bestFit="1" customWidth="1"/>
    <col min="1803" max="1805" width="13.28515625" style="1" bestFit="1" customWidth="1"/>
    <col min="1806" max="1806" width="14.140625" style="1" bestFit="1" customWidth="1"/>
    <col min="1807" max="2048" width="9.140625" style="1"/>
    <col min="2049" max="2049" width="51" style="1" customWidth="1"/>
    <col min="2050" max="2051" width="11.85546875" style="1" bestFit="1" customWidth="1"/>
    <col min="2052" max="2057" width="13.28515625" style="1" bestFit="1" customWidth="1"/>
    <col min="2058" max="2058" width="16.140625" style="1" bestFit="1" customWidth="1"/>
    <col min="2059" max="2061" width="13.28515625" style="1" bestFit="1" customWidth="1"/>
    <col min="2062" max="2062" width="14.140625" style="1" bestFit="1" customWidth="1"/>
    <col min="2063" max="2304" width="9.140625" style="1"/>
    <col min="2305" max="2305" width="51" style="1" customWidth="1"/>
    <col min="2306" max="2307" width="11.85546875" style="1" bestFit="1" customWidth="1"/>
    <col min="2308" max="2313" width="13.28515625" style="1" bestFit="1" customWidth="1"/>
    <col min="2314" max="2314" width="16.140625" style="1" bestFit="1" customWidth="1"/>
    <col min="2315" max="2317" width="13.28515625" style="1" bestFit="1" customWidth="1"/>
    <col min="2318" max="2318" width="14.140625" style="1" bestFit="1" customWidth="1"/>
    <col min="2319" max="2560" width="9.140625" style="1"/>
    <col min="2561" max="2561" width="51" style="1" customWidth="1"/>
    <col min="2562" max="2563" width="11.85546875" style="1" bestFit="1" customWidth="1"/>
    <col min="2564" max="2569" width="13.28515625" style="1" bestFit="1" customWidth="1"/>
    <col min="2570" max="2570" width="16.140625" style="1" bestFit="1" customWidth="1"/>
    <col min="2571" max="2573" width="13.28515625" style="1" bestFit="1" customWidth="1"/>
    <col min="2574" max="2574" width="14.140625" style="1" bestFit="1" customWidth="1"/>
    <col min="2575" max="2816" width="9.140625" style="1"/>
    <col min="2817" max="2817" width="51" style="1" customWidth="1"/>
    <col min="2818" max="2819" width="11.85546875" style="1" bestFit="1" customWidth="1"/>
    <col min="2820" max="2825" width="13.28515625" style="1" bestFit="1" customWidth="1"/>
    <col min="2826" max="2826" width="16.140625" style="1" bestFit="1" customWidth="1"/>
    <col min="2827" max="2829" width="13.28515625" style="1" bestFit="1" customWidth="1"/>
    <col min="2830" max="2830" width="14.140625" style="1" bestFit="1" customWidth="1"/>
    <col min="2831" max="3072" width="9.140625" style="1"/>
    <col min="3073" max="3073" width="51" style="1" customWidth="1"/>
    <col min="3074" max="3075" width="11.85546875" style="1" bestFit="1" customWidth="1"/>
    <col min="3076" max="3081" width="13.28515625" style="1" bestFit="1" customWidth="1"/>
    <col min="3082" max="3082" width="16.140625" style="1" bestFit="1" customWidth="1"/>
    <col min="3083" max="3085" width="13.28515625" style="1" bestFit="1" customWidth="1"/>
    <col min="3086" max="3086" width="14.140625" style="1" bestFit="1" customWidth="1"/>
    <col min="3087" max="3328" width="9.140625" style="1"/>
    <col min="3329" max="3329" width="51" style="1" customWidth="1"/>
    <col min="3330" max="3331" width="11.85546875" style="1" bestFit="1" customWidth="1"/>
    <col min="3332" max="3337" width="13.28515625" style="1" bestFit="1" customWidth="1"/>
    <col min="3338" max="3338" width="16.140625" style="1" bestFit="1" customWidth="1"/>
    <col min="3339" max="3341" width="13.28515625" style="1" bestFit="1" customWidth="1"/>
    <col min="3342" max="3342" width="14.140625" style="1" bestFit="1" customWidth="1"/>
    <col min="3343" max="3584" width="9.140625" style="1"/>
    <col min="3585" max="3585" width="51" style="1" customWidth="1"/>
    <col min="3586" max="3587" width="11.85546875" style="1" bestFit="1" customWidth="1"/>
    <col min="3588" max="3593" width="13.28515625" style="1" bestFit="1" customWidth="1"/>
    <col min="3594" max="3594" width="16.140625" style="1" bestFit="1" customWidth="1"/>
    <col min="3595" max="3597" width="13.28515625" style="1" bestFit="1" customWidth="1"/>
    <col min="3598" max="3598" width="14.140625" style="1" bestFit="1" customWidth="1"/>
    <col min="3599" max="3840" width="9.140625" style="1"/>
    <col min="3841" max="3841" width="51" style="1" customWidth="1"/>
    <col min="3842" max="3843" width="11.85546875" style="1" bestFit="1" customWidth="1"/>
    <col min="3844" max="3849" width="13.28515625" style="1" bestFit="1" customWidth="1"/>
    <col min="3850" max="3850" width="16.140625" style="1" bestFit="1" customWidth="1"/>
    <col min="3851" max="3853" width="13.28515625" style="1" bestFit="1" customWidth="1"/>
    <col min="3854" max="3854" width="14.140625" style="1" bestFit="1" customWidth="1"/>
    <col min="3855" max="4096" width="9.140625" style="1"/>
    <col min="4097" max="4097" width="51" style="1" customWidth="1"/>
    <col min="4098" max="4099" width="11.85546875" style="1" bestFit="1" customWidth="1"/>
    <col min="4100" max="4105" width="13.28515625" style="1" bestFit="1" customWidth="1"/>
    <col min="4106" max="4106" width="16.140625" style="1" bestFit="1" customWidth="1"/>
    <col min="4107" max="4109" width="13.28515625" style="1" bestFit="1" customWidth="1"/>
    <col min="4110" max="4110" width="14.140625" style="1" bestFit="1" customWidth="1"/>
    <col min="4111" max="4352" width="9.140625" style="1"/>
    <col min="4353" max="4353" width="51" style="1" customWidth="1"/>
    <col min="4354" max="4355" width="11.85546875" style="1" bestFit="1" customWidth="1"/>
    <col min="4356" max="4361" width="13.28515625" style="1" bestFit="1" customWidth="1"/>
    <col min="4362" max="4362" width="16.140625" style="1" bestFit="1" customWidth="1"/>
    <col min="4363" max="4365" width="13.28515625" style="1" bestFit="1" customWidth="1"/>
    <col min="4366" max="4366" width="14.140625" style="1" bestFit="1" customWidth="1"/>
    <col min="4367" max="4608" width="9.140625" style="1"/>
    <col min="4609" max="4609" width="51" style="1" customWidth="1"/>
    <col min="4610" max="4611" width="11.85546875" style="1" bestFit="1" customWidth="1"/>
    <col min="4612" max="4617" width="13.28515625" style="1" bestFit="1" customWidth="1"/>
    <col min="4618" max="4618" width="16.140625" style="1" bestFit="1" customWidth="1"/>
    <col min="4619" max="4621" width="13.28515625" style="1" bestFit="1" customWidth="1"/>
    <col min="4622" max="4622" width="14.140625" style="1" bestFit="1" customWidth="1"/>
    <col min="4623" max="4864" width="9.140625" style="1"/>
    <col min="4865" max="4865" width="51" style="1" customWidth="1"/>
    <col min="4866" max="4867" width="11.85546875" style="1" bestFit="1" customWidth="1"/>
    <col min="4868" max="4873" width="13.28515625" style="1" bestFit="1" customWidth="1"/>
    <col min="4874" max="4874" width="16.140625" style="1" bestFit="1" customWidth="1"/>
    <col min="4875" max="4877" width="13.28515625" style="1" bestFit="1" customWidth="1"/>
    <col min="4878" max="4878" width="14.140625" style="1" bestFit="1" customWidth="1"/>
    <col min="4879" max="5120" width="9.140625" style="1"/>
    <col min="5121" max="5121" width="51" style="1" customWidth="1"/>
    <col min="5122" max="5123" width="11.85546875" style="1" bestFit="1" customWidth="1"/>
    <col min="5124" max="5129" width="13.28515625" style="1" bestFit="1" customWidth="1"/>
    <col min="5130" max="5130" width="16.140625" style="1" bestFit="1" customWidth="1"/>
    <col min="5131" max="5133" width="13.28515625" style="1" bestFit="1" customWidth="1"/>
    <col min="5134" max="5134" width="14.140625" style="1" bestFit="1" customWidth="1"/>
    <col min="5135" max="5376" width="9.140625" style="1"/>
    <col min="5377" max="5377" width="51" style="1" customWidth="1"/>
    <col min="5378" max="5379" width="11.85546875" style="1" bestFit="1" customWidth="1"/>
    <col min="5380" max="5385" width="13.28515625" style="1" bestFit="1" customWidth="1"/>
    <col min="5386" max="5386" width="16.140625" style="1" bestFit="1" customWidth="1"/>
    <col min="5387" max="5389" width="13.28515625" style="1" bestFit="1" customWidth="1"/>
    <col min="5390" max="5390" width="14.140625" style="1" bestFit="1" customWidth="1"/>
    <col min="5391" max="5632" width="9.140625" style="1"/>
    <col min="5633" max="5633" width="51" style="1" customWidth="1"/>
    <col min="5634" max="5635" width="11.85546875" style="1" bestFit="1" customWidth="1"/>
    <col min="5636" max="5641" width="13.28515625" style="1" bestFit="1" customWidth="1"/>
    <col min="5642" max="5642" width="16.140625" style="1" bestFit="1" customWidth="1"/>
    <col min="5643" max="5645" width="13.28515625" style="1" bestFit="1" customWidth="1"/>
    <col min="5646" max="5646" width="14.140625" style="1" bestFit="1" customWidth="1"/>
    <col min="5647" max="5888" width="9.140625" style="1"/>
    <col min="5889" max="5889" width="51" style="1" customWidth="1"/>
    <col min="5890" max="5891" width="11.85546875" style="1" bestFit="1" customWidth="1"/>
    <col min="5892" max="5897" width="13.28515625" style="1" bestFit="1" customWidth="1"/>
    <col min="5898" max="5898" width="16.140625" style="1" bestFit="1" customWidth="1"/>
    <col min="5899" max="5901" width="13.28515625" style="1" bestFit="1" customWidth="1"/>
    <col min="5902" max="5902" width="14.140625" style="1" bestFit="1" customWidth="1"/>
    <col min="5903" max="6144" width="9.140625" style="1"/>
    <col min="6145" max="6145" width="51" style="1" customWidth="1"/>
    <col min="6146" max="6147" width="11.85546875" style="1" bestFit="1" customWidth="1"/>
    <col min="6148" max="6153" width="13.28515625" style="1" bestFit="1" customWidth="1"/>
    <col min="6154" max="6154" width="16.140625" style="1" bestFit="1" customWidth="1"/>
    <col min="6155" max="6157" width="13.28515625" style="1" bestFit="1" customWidth="1"/>
    <col min="6158" max="6158" width="14.140625" style="1" bestFit="1" customWidth="1"/>
    <col min="6159" max="6400" width="9.140625" style="1"/>
    <col min="6401" max="6401" width="51" style="1" customWidth="1"/>
    <col min="6402" max="6403" width="11.85546875" style="1" bestFit="1" customWidth="1"/>
    <col min="6404" max="6409" width="13.28515625" style="1" bestFit="1" customWidth="1"/>
    <col min="6410" max="6410" width="16.140625" style="1" bestFit="1" customWidth="1"/>
    <col min="6411" max="6413" width="13.28515625" style="1" bestFit="1" customWidth="1"/>
    <col min="6414" max="6414" width="14.140625" style="1" bestFit="1" customWidth="1"/>
    <col min="6415" max="6656" width="9.140625" style="1"/>
    <col min="6657" max="6657" width="51" style="1" customWidth="1"/>
    <col min="6658" max="6659" width="11.85546875" style="1" bestFit="1" customWidth="1"/>
    <col min="6660" max="6665" width="13.28515625" style="1" bestFit="1" customWidth="1"/>
    <col min="6666" max="6666" width="16.140625" style="1" bestFit="1" customWidth="1"/>
    <col min="6667" max="6669" width="13.28515625" style="1" bestFit="1" customWidth="1"/>
    <col min="6670" max="6670" width="14.140625" style="1" bestFit="1" customWidth="1"/>
    <col min="6671" max="6912" width="9.140625" style="1"/>
    <col min="6913" max="6913" width="51" style="1" customWidth="1"/>
    <col min="6914" max="6915" width="11.85546875" style="1" bestFit="1" customWidth="1"/>
    <col min="6916" max="6921" width="13.28515625" style="1" bestFit="1" customWidth="1"/>
    <col min="6922" max="6922" width="16.140625" style="1" bestFit="1" customWidth="1"/>
    <col min="6923" max="6925" width="13.28515625" style="1" bestFit="1" customWidth="1"/>
    <col min="6926" max="6926" width="14.140625" style="1" bestFit="1" customWidth="1"/>
    <col min="6927" max="7168" width="9.140625" style="1"/>
    <col min="7169" max="7169" width="51" style="1" customWidth="1"/>
    <col min="7170" max="7171" width="11.85546875" style="1" bestFit="1" customWidth="1"/>
    <col min="7172" max="7177" width="13.28515625" style="1" bestFit="1" customWidth="1"/>
    <col min="7178" max="7178" width="16.140625" style="1" bestFit="1" customWidth="1"/>
    <col min="7179" max="7181" width="13.28515625" style="1" bestFit="1" customWidth="1"/>
    <col min="7182" max="7182" width="14.140625" style="1" bestFit="1" customWidth="1"/>
    <col min="7183" max="7424" width="9.140625" style="1"/>
    <col min="7425" max="7425" width="51" style="1" customWidth="1"/>
    <col min="7426" max="7427" width="11.85546875" style="1" bestFit="1" customWidth="1"/>
    <col min="7428" max="7433" width="13.28515625" style="1" bestFit="1" customWidth="1"/>
    <col min="7434" max="7434" width="16.140625" style="1" bestFit="1" customWidth="1"/>
    <col min="7435" max="7437" width="13.28515625" style="1" bestFit="1" customWidth="1"/>
    <col min="7438" max="7438" width="14.140625" style="1" bestFit="1" customWidth="1"/>
    <col min="7439" max="7680" width="9.140625" style="1"/>
    <col min="7681" max="7681" width="51" style="1" customWidth="1"/>
    <col min="7682" max="7683" width="11.85546875" style="1" bestFit="1" customWidth="1"/>
    <col min="7684" max="7689" width="13.28515625" style="1" bestFit="1" customWidth="1"/>
    <col min="7690" max="7690" width="16.140625" style="1" bestFit="1" customWidth="1"/>
    <col min="7691" max="7693" width="13.28515625" style="1" bestFit="1" customWidth="1"/>
    <col min="7694" max="7694" width="14.140625" style="1" bestFit="1" customWidth="1"/>
    <col min="7695" max="7936" width="9.140625" style="1"/>
    <col min="7937" max="7937" width="51" style="1" customWidth="1"/>
    <col min="7938" max="7939" width="11.85546875" style="1" bestFit="1" customWidth="1"/>
    <col min="7940" max="7945" width="13.28515625" style="1" bestFit="1" customWidth="1"/>
    <col min="7946" max="7946" width="16.140625" style="1" bestFit="1" customWidth="1"/>
    <col min="7947" max="7949" width="13.28515625" style="1" bestFit="1" customWidth="1"/>
    <col min="7950" max="7950" width="14.140625" style="1" bestFit="1" customWidth="1"/>
    <col min="7951" max="8192" width="9.140625" style="1"/>
    <col min="8193" max="8193" width="51" style="1" customWidth="1"/>
    <col min="8194" max="8195" width="11.85546875" style="1" bestFit="1" customWidth="1"/>
    <col min="8196" max="8201" width="13.28515625" style="1" bestFit="1" customWidth="1"/>
    <col min="8202" max="8202" width="16.140625" style="1" bestFit="1" customWidth="1"/>
    <col min="8203" max="8205" width="13.28515625" style="1" bestFit="1" customWidth="1"/>
    <col min="8206" max="8206" width="14.140625" style="1" bestFit="1" customWidth="1"/>
    <col min="8207" max="8448" width="9.140625" style="1"/>
    <col min="8449" max="8449" width="51" style="1" customWidth="1"/>
    <col min="8450" max="8451" width="11.85546875" style="1" bestFit="1" customWidth="1"/>
    <col min="8452" max="8457" width="13.28515625" style="1" bestFit="1" customWidth="1"/>
    <col min="8458" max="8458" width="16.140625" style="1" bestFit="1" customWidth="1"/>
    <col min="8459" max="8461" width="13.28515625" style="1" bestFit="1" customWidth="1"/>
    <col min="8462" max="8462" width="14.140625" style="1" bestFit="1" customWidth="1"/>
    <col min="8463" max="8704" width="9.140625" style="1"/>
    <col min="8705" max="8705" width="51" style="1" customWidth="1"/>
    <col min="8706" max="8707" width="11.85546875" style="1" bestFit="1" customWidth="1"/>
    <col min="8708" max="8713" width="13.28515625" style="1" bestFit="1" customWidth="1"/>
    <col min="8714" max="8714" width="16.140625" style="1" bestFit="1" customWidth="1"/>
    <col min="8715" max="8717" width="13.28515625" style="1" bestFit="1" customWidth="1"/>
    <col min="8718" max="8718" width="14.140625" style="1" bestFit="1" customWidth="1"/>
    <col min="8719" max="8960" width="9.140625" style="1"/>
    <col min="8961" max="8961" width="51" style="1" customWidth="1"/>
    <col min="8962" max="8963" width="11.85546875" style="1" bestFit="1" customWidth="1"/>
    <col min="8964" max="8969" width="13.28515625" style="1" bestFit="1" customWidth="1"/>
    <col min="8970" max="8970" width="16.140625" style="1" bestFit="1" customWidth="1"/>
    <col min="8971" max="8973" width="13.28515625" style="1" bestFit="1" customWidth="1"/>
    <col min="8974" max="8974" width="14.140625" style="1" bestFit="1" customWidth="1"/>
    <col min="8975" max="9216" width="9.140625" style="1"/>
    <col min="9217" max="9217" width="51" style="1" customWidth="1"/>
    <col min="9218" max="9219" width="11.85546875" style="1" bestFit="1" customWidth="1"/>
    <col min="9220" max="9225" width="13.28515625" style="1" bestFit="1" customWidth="1"/>
    <col min="9226" max="9226" width="16.140625" style="1" bestFit="1" customWidth="1"/>
    <col min="9227" max="9229" width="13.28515625" style="1" bestFit="1" customWidth="1"/>
    <col min="9230" max="9230" width="14.140625" style="1" bestFit="1" customWidth="1"/>
    <col min="9231" max="9472" width="9.140625" style="1"/>
    <col min="9473" max="9473" width="51" style="1" customWidth="1"/>
    <col min="9474" max="9475" width="11.85546875" style="1" bestFit="1" customWidth="1"/>
    <col min="9476" max="9481" width="13.28515625" style="1" bestFit="1" customWidth="1"/>
    <col min="9482" max="9482" width="16.140625" style="1" bestFit="1" customWidth="1"/>
    <col min="9483" max="9485" width="13.28515625" style="1" bestFit="1" customWidth="1"/>
    <col min="9486" max="9486" width="14.140625" style="1" bestFit="1" customWidth="1"/>
    <col min="9487" max="9728" width="9.140625" style="1"/>
    <col min="9729" max="9729" width="51" style="1" customWidth="1"/>
    <col min="9730" max="9731" width="11.85546875" style="1" bestFit="1" customWidth="1"/>
    <col min="9732" max="9737" width="13.28515625" style="1" bestFit="1" customWidth="1"/>
    <col min="9738" max="9738" width="16.140625" style="1" bestFit="1" customWidth="1"/>
    <col min="9739" max="9741" width="13.28515625" style="1" bestFit="1" customWidth="1"/>
    <col min="9742" max="9742" width="14.140625" style="1" bestFit="1" customWidth="1"/>
    <col min="9743" max="9984" width="9.140625" style="1"/>
    <col min="9985" max="9985" width="51" style="1" customWidth="1"/>
    <col min="9986" max="9987" width="11.85546875" style="1" bestFit="1" customWidth="1"/>
    <col min="9988" max="9993" width="13.28515625" style="1" bestFit="1" customWidth="1"/>
    <col min="9994" max="9994" width="16.140625" style="1" bestFit="1" customWidth="1"/>
    <col min="9995" max="9997" width="13.28515625" style="1" bestFit="1" customWidth="1"/>
    <col min="9998" max="9998" width="14.140625" style="1" bestFit="1" customWidth="1"/>
    <col min="9999" max="10240" width="9.140625" style="1"/>
    <col min="10241" max="10241" width="51" style="1" customWidth="1"/>
    <col min="10242" max="10243" width="11.85546875" style="1" bestFit="1" customWidth="1"/>
    <col min="10244" max="10249" width="13.28515625" style="1" bestFit="1" customWidth="1"/>
    <col min="10250" max="10250" width="16.140625" style="1" bestFit="1" customWidth="1"/>
    <col min="10251" max="10253" width="13.28515625" style="1" bestFit="1" customWidth="1"/>
    <col min="10254" max="10254" width="14.140625" style="1" bestFit="1" customWidth="1"/>
    <col min="10255" max="10496" width="9.140625" style="1"/>
    <col min="10497" max="10497" width="51" style="1" customWidth="1"/>
    <col min="10498" max="10499" width="11.85546875" style="1" bestFit="1" customWidth="1"/>
    <col min="10500" max="10505" width="13.28515625" style="1" bestFit="1" customWidth="1"/>
    <col min="10506" max="10506" width="16.140625" style="1" bestFit="1" customWidth="1"/>
    <col min="10507" max="10509" width="13.28515625" style="1" bestFit="1" customWidth="1"/>
    <col min="10510" max="10510" width="14.140625" style="1" bestFit="1" customWidth="1"/>
    <col min="10511" max="10752" width="9.140625" style="1"/>
    <col min="10753" max="10753" width="51" style="1" customWidth="1"/>
    <col min="10754" max="10755" width="11.85546875" style="1" bestFit="1" customWidth="1"/>
    <col min="10756" max="10761" width="13.28515625" style="1" bestFit="1" customWidth="1"/>
    <col min="10762" max="10762" width="16.140625" style="1" bestFit="1" customWidth="1"/>
    <col min="10763" max="10765" width="13.28515625" style="1" bestFit="1" customWidth="1"/>
    <col min="10766" max="10766" width="14.140625" style="1" bestFit="1" customWidth="1"/>
    <col min="10767" max="11008" width="9.140625" style="1"/>
    <col min="11009" max="11009" width="51" style="1" customWidth="1"/>
    <col min="11010" max="11011" width="11.85546875" style="1" bestFit="1" customWidth="1"/>
    <col min="11012" max="11017" width="13.28515625" style="1" bestFit="1" customWidth="1"/>
    <col min="11018" max="11018" width="16.140625" style="1" bestFit="1" customWidth="1"/>
    <col min="11019" max="11021" width="13.28515625" style="1" bestFit="1" customWidth="1"/>
    <col min="11022" max="11022" width="14.140625" style="1" bestFit="1" customWidth="1"/>
    <col min="11023" max="11264" width="9.140625" style="1"/>
    <col min="11265" max="11265" width="51" style="1" customWidth="1"/>
    <col min="11266" max="11267" width="11.85546875" style="1" bestFit="1" customWidth="1"/>
    <col min="11268" max="11273" width="13.28515625" style="1" bestFit="1" customWidth="1"/>
    <col min="11274" max="11274" width="16.140625" style="1" bestFit="1" customWidth="1"/>
    <col min="11275" max="11277" width="13.28515625" style="1" bestFit="1" customWidth="1"/>
    <col min="11278" max="11278" width="14.140625" style="1" bestFit="1" customWidth="1"/>
    <col min="11279" max="11520" width="9.140625" style="1"/>
    <col min="11521" max="11521" width="51" style="1" customWidth="1"/>
    <col min="11522" max="11523" width="11.85546875" style="1" bestFit="1" customWidth="1"/>
    <col min="11524" max="11529" width="13.28515625" style="1" bestFit="1" customWidth="1"/>
    <col min="11530" max="11530" width="16.140625" style="1" bestFit="1" customWidth="1"/>
    <col min="11531" max="11533" width="13.28515625" style="1" bestFit="1" customWidth="1"/>
    <col min="11534" max="11534" width="14.140625" style="1" bestFit="1" customWidth="1"/>
    <col min="11535" max="11776" width="9.140625" style="1"/>
    <col min="11777" max="11777" width="51" style="1" customWidth="1"/>
    <col min="11778" max="11779" width="11.85546875" style="1" bestFit="1" customWidth="1"/>
    <col min="11780" max="11785" width="13.28515625" style="1" bestFit="1" customWidth="1"/>
    <col min="11786" max="11786" width="16.140625" style="1" bestFit="1" customWidth="1"/>
    <col min="11787" max="11789" width="13.28515625" style="1" bestFit="1" customWidth="1"/>
    <col min="11790" max="11790" width="14.140625" style="1" bestFit="1" customWidth="1"/>
    <col min="11791" max="12032" width="9.140625" style="1"/>
    <col min="12033" max="12033" width="51" style="1" customWidth="1"/>
    <col min="12034" max="12035" width="11.85546875" style="1" bestFit="1" customWidth="1"/>
    <col min="12036" max="12041" width="13.28515625" style="1" bestFit="1" customWidth="1"/>
    <col min="12042" max="12042" width="16.140625" style="1" bestFit="1" customWidth="1"/>
    <col min="12043" max="12045" width="13.28515625" style="1" bestFit="1" customWidth="1"/>
    <col min="12046" max="12046" width="14.140625" style="1" bestFit="1" customWidth="1"/>
    <col min="12047" max="12288" width="9.140625" style="1"/>
    <col min="12289" max="12289" width="51" style="1" customWidth="1"/>
    <col min="12290" max="12291" width="11.85546875" style="1" bestFit="1" customWidth="1"/>
    <col min="12292" max="12297" width="13.28515625" style="1" bestFit="1" customWidth="1"/>
    <col min="12298" max="12298" width="16.140625" style="1" bestFit="1" customWidth="1"/>
    <col min="12299" max="12301" width="13.28515625" style="1" bestFit="1" customWidth="1"/>
    <col min="12302" max="12302" width="14.140625" style="1" bestFit="1" customWidth="1"/>
    <col min="12303" max="12544" width="9.140625" style="1"/>
    <col min="12545" max="12545" width="51" style="1" customWidth="1"/>
    <col min="12546" max="12547" width="11.85546875" style="1" bestFit="1" customWidth="1"/>
    <col min="12548" max="12553" width="13.28515625" style="1" bestFit="1" customWidth="1"/>
    <col min="12554" max="12554" width="16.140625" style="1" bestFit="1" customWidth="1"/>
    <col min="12555" max="12557" width="13.28515625" style="1" bestFit="1" customWidth="1"/>
    <col min="12558" max="12558" width="14.140625" style="1" bestFit="1" customWidth="1"/>
    <col min="12559" max="12800" width="9.140625" style="1"/>
    <col min="12801" max="12801" width="51" style="1" customWidth="1"/>
    <col min="12802" max="12803" width="11.85546875" style="1" bestFit="1" customWidth="1"/>
    <col min="12804" max="12809" width="13.28515625" style="1" bestFit="1" customWidth="1"/>
    <col min="12810" max="12810" width="16.140625" style="1" bestFit="1" customWidth="1"/>
    <col min="12811" max="12813" width="13.28515625" style="1" bestFit="1" customWidth="1"/>
    <col min="12814" max="12814" width="14.140625" style="1" bestFit="1" customWidth="1"/>
    <col min="12815" max="13056" width="9.140625" style="1"/>
    <col min="13057" max="13057" width="51" style="1" customWidth="1"/>
    <col min="13058" max="13059" width="11.85546875" style="1" bestFit="1" customWidth="1"/>
    <col min="13060" max="13065" width="13.28515625" style="1" bestFit="1" customWidth="1"/>
    <col min="13066" max="13066" width="16.140625" style="1" bestFit="1" customWidth="1"/>
    <col min="13067" max="13069" width="13.28515625" style="1" bestFit="1" customWidth="1"/>
    <col min="13070" max="13070" width="14.140625" style="1" bestFit="1" customWidth="1"/>
    <col min="13071" max="13312" width="9.140625" style="1"/>
    <col min="13313" max="13313" width="51" style="1" customWidth="1"/>
    <col min="13314" max="13315" width="11.85546875" style="1" bestFit="1" customWidth="1"/>
    <col min="13316" max="13321" width="13.28515625" style="1" bestFit="1" customWidth="1"/>
    <col min="13322" max="13322" width="16.140625" style="1" bestFit="1" customWidth="1"/>
    <col min="13323" max="13325" width="13.28515625" style="1" bestFit="1" customWidth="1"/>
    <col min="13326" max="13326" width="14.140625" style="1" bestFit="1" customWidth="1"/>
    <col min="13327" max="13568" width="9.140625" style="1"/>
    <col min="13569" max="13569" width="51" style="1" customWidth="1"/>
    <col min="13570" max="13571" width="11.85546875" style="1" bestFit="1" customWidth="1"/>
    <col min="13572" max="13577" width="13.28515625" style="1" bestFit="1" customWidth="1"/>
    <col min="13578" max="13578" width="16.140625" style="1" bestFit="1" customWidth="1"/>
    <col min="13579" max="13581" width="13.28515625" style="1" bestFit="1" customWidth="1"/>
    <col min="13582" max="13582" width="14.140625" style="1" bestFit="1" customWidth="1"/>
    <col min="13583" max="13824" width="9.140625" style="1"/>
    <col min="13825" max="13825" width="51" style="1" customWidth="1"/>
    <col min="13826" max="13827" width="11.85546875" style="1" bestFit="1" customWidth="1"/>
    <col min="13828" max="13833" width="13.28515625" style="1" bestFit="1" customWidth="1"/>
    <col min="13834" max="13834" width="16.140625" style="1" bestFit="1" customWidth="1"/>
    <col min="13835" max="13837" width="13.28515625" style="1" bestFit="1" customWidth="1"/>
    <col min="13838" max="13838" width="14.140625" style="1" bestFit="1" customWidth="1"/>
    <col min="13839" max="14080" width="9.140625" style="1"/>
    <col min="14081" max="14081" width="51" style="1" customWidth="1"/>
    <col min="14082" max="14083" width="11.85546875" style="1" bestFit="1" customWidth="1"/>
    <col min="14084" max="14089" width="13.28515625" style="1" bestFit="1" customWidth="1"/>
    <col min="14090" max="14090" width="16.140625" style="1" bestFit="1" customWidth="1"/>
    <col min="14091" max="14093" width="13.28515625" style="1" bestFit="1" customWidth="1"/>
    <col min="14094" max="14094" width="14.140625" style="1" bestFit="1" customWidth="1"/>
    <col min="14095" max="14336" width="9.140625" style="1"/>
    <col min="14337" max="14337" width="51" style="1" customWidth="1"/>
    <col min="14338" max="14339" width="11.85546875" style="1" bestFit="1" customWidth="1"/>
    <col min="14340" max="14345" width="13.28515625" style="1" bestFit="1" customWidth="1"/>
    <col min="14346" max="14346" width="16.140625" style="1" bestFit="1" customWidth="1"/>
    <col min="14347" max="14349" width="13.28515625" style="1" bestFit="1" customWidth="1"/>
    <col min="14350" max="14350" width="14.140625" style="1" bestFit="1" customWidth="1"/>
    <col min="14351" max="14592" width="9.140625" style="1"/>
    <col min="14593" max="14593" width="51" style="1" customWidth="1"/>
    <col min="14594" max="14595" width="11.85546875" style="1" bestFit="1" customWidth="1"/>
    <col min="14596" max="14601" width="13.28515625" style="1" bestFit="1" customWidth="1"/>
    <col min="14602" max="14602" width="16.140625" style="1" bestFit="1" customWidth="1"/>
    <col min="14603" max="14605" width="13.28515625" style="1" bestFit="1" customWidth="1"/>
    <col min="14606" max="14606" width="14.140625" style="1" bestFit="1" customWidth="1"/>
    <col min="14607" max="14848" width="9.140625" style="1"/>
    <col min="14849" max="14849" width="51" style="1" customWidth="1"/>
    <col min="14850" max="14851" width="11.85546875" style="1" bestFit="1" customWidth="1"/>
    <col min="14852" max="14857" width="13.28515625" style="1" bestFit="1" customWidth="1"/>
    <col min="14858" max="14858" width="16.140625" style="1" bestFit="1" customWidth="1"/>
    <col min="14859" max="14861" width="13.28515625" style="1" bestFit="1" customWidth="1"/>
    <col min="14862" max="14862" width="14.140625" style="1" bestFit="1" customWidth="1"/>
    <col min="14863" max="15104" width="9.140625" style="1"/>
    <col min="15105" max="15105" width="51" style="1" customWidth="1"/>
    <col min="15106" max="15107" width="11.85546875" style="1" bestFit="1" customWidth="1"/>
    <col min="15108" max="15113" width="13.28515625" style="1" bestFit="1" customWidth="1"/>
    <col min="15114" max="15114" width="16.140625" style="1" bestFit="1" customWidth="1"/>
    <col min="15115" max="15117" width="13.28515625" style="1" bestFit="1" customWidth="1"/>
    <col min="15118" max="15118" width="14.140625" style="1" bestFit="1" customWidth="1"/>
    <col min="15119" max="15360" width="9.140625" style="1"/>
    <col min="15361" max="15361" width="51" style="1" customWidth="1"/>
    <col min="15362" max="15363" width="11.85546875" style="1" bestFit="1" customWidth="1"/>
    <col min="15364" max="15369" width="13.28515625" style="1" bestFit="1" customWidth="1"/>
    <col min="15370" max="15370" width="16.140625" style="1" bestFit="1" customWidth="1"/>
    <col min="15371" max="15373" width="13.28515625" style="1" bestFit="1" customWidth="1"/>
    <col min="15374" max="15374" width="14.140625" style="1" bestFit="1" customWidth="1"/>
    <col min="15375" max="15616" width="9.140625" style="1"/>
    <col min="15617" max="15617" width="51" style="1" customWidth="1"/>
    <col min="15618" max="15619" width="11.85546875" style="1" bestFit="1" customWidth="1"/>
    <col min="15620" max="15625" width="13.28515625" style="1" bestFit="1" customWidth="1"/>
    <col min="15626" max="15626" width="16.140625" style="1" bestFit="1" customWidth="1"/>
    <col min="15627" max="15629" width="13.28515625" style="1" bestFit="1" customWidth="1"/>
    <col min="15630" max="15630" width="14.140625" style="1" bestFit="1" customWidth="1"/>
    <col min="15631" max="15872" width="9.140625" style="1"/>
    <col min="15873" max="15873" width="51" style="1" customWidth="1"/>
    <col min="15874" max="15875" width="11.85546875" style="1" bestFit="1" customWidth="1"/>
    <col min="15876" max="15881" width="13.28515625" style="1" bestFit="1" customWidth="1"/>
    <col min="15882" max="15882" width="16.140625" style="1" bestFit="1" customWidth="1"/>
    <col min="15883" max="15885" width="13.28515625" style="1" bestFit="1" customWidth="1"/>
    <col min="15886" max="15886" width="14.140625" style="1" bestFit="1" customWidth="1"/>
    <col min="15887" max="16128" width="9.140625" style="1"/>
    <col min="16129" max="16129" width="51" style="1" customWidth="1"/>
    <col min="16130" max="16131" width="11.85546875" style="1" bestFit="1" customWidth="1"/>
    <col min="16132" max="16137" width="13.28515625" style="1" bestFit="1" customWidth="1"/>
    <col min="16138" max="16138" width="16.140625" style="1" bestFit="1" customWidth="1"/>
    <col min="16139" max="16141" width="13.28515625" style="1" bestFit="1" customWidth="1"/>
    <col min="16142" max="16142" width="14.140625" style="1" bestFit="1" customWidth="1"/>
    <col min="16143" max="16384" width="9.140625" style="1"/>
  </cols>
  <sheetData>
    <row r="1" spans="1:17" x14ac:dyDescent="0.2">
      <c r="A1" s="2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ht="13.5" thickBot="1" x14ac:dyDescent="0.25">
      <c r="A2" s="2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63"/>
      <c r="N2" s="363"/>
    </row>
    <row r="3" spans="1:17" x14ac:dyDescent="0.2">
      <c r="A3" s="364" t="s">
        <v>368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6"/>
    </row>
    <row r="4" spans="1:17" x14ac:dyDescent="0.2">
      <c r="A4" s="30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5"/>
    </row>
    <row r="5" spans="1:17" s="2" customFormat="1" ht="25.5" x14ac:dyDescent="0.2">
      <c r="A5" s="31" t="s">
        <v>84</v>
      </c>
      <c r="B5" s="24" t="s">
        <v>190</v>
      </c>
      <c r="C5" s="24" t="s">
        <v>191</v>
      </c>
      <c r="D5" s="24" t="s">
        <v>192</v>
      </c>
      <c r="E5" s="24" t="s">
        <v>193</v>
      </c>
      <c r="F5" s="24" t="s">
        <v>194</v>
      </c>
      <c r="G5" s="24" t="s">
        <v>195</v>
      </c>
      <c r="H5" s="24" t="s">
        <v>196</v>
      </c>
      <c r="I5" s="24" t="s">
        <v>197</v>
      </c>
      <c r="J5" s="24" t="s">
        <v>273</v>
      </c>
      <c r="K5" s="24" t="s">
        <v>198</v>
      </c>
      <c r="L5" s="24" t="s">
        <v>199</v>
      </c>
      <c r="M5" s="24" t="s">
        <v>200</v>
      </c>
      <c r="N5" s="26" t="s">
        <v>83</v>
      </c>
    </row>
    <row r="6" spans="1:17" ht="15.75" x14ac:dyDescent="0.25">
      <c r="A6" s="31" t="s">
        <v>201</v>
      </c>
      <c r="B6" s="278">
        <v>28675744</v>
      </c>
      <c r="C6" s="14">
        <f t="shared" ref="C6:M6" si="0">B36</f>
        <v>11462408.583333332</v>
      </c>
      <c r="D6" s="14">
        <f t="shared" si="0"/>
        <v>9160600.166666666</v>
      </c>
      <c r="E6" s="14">
        <f t="shared" si="0"/>
        <v>7835799.75</v>
      </c>
      <c r="F6" s="14">
        <f t="shared" si="0"/>
        <v>2450260.3333333321</v>
      </c>
      <c r="G6" s="14">
        <f t="shared" si="0"/>
        <v>3178176.916666666</v>
      </c>
      <c r="H6" s="14">
        <f t="shared" si="0"/>
        <v>6311335.5</v>
      </c>
      <c r="I6" s="14">
        <f t="shared" si="0"/>
        <v>4347147.083333334</v>
      </c>
      <c r="J6" s="14">
        <f t="shared" si="0"/>
        <v>3346439.6666666674</v>
      </c>
      <c r="K6" s="14">
        <f t="shared" si="0"/>
        <v>6812432.2500000019</v>
      </c>
      <c r="L6" s="14">
        <f t="shared" si="0"/>
        <v>4339057.833333334</v>
      </c>
      <c r="M6" s="14">
        <f t="shared" si="0"/>
        <v>988350.41666666791</v>
      </c>
      <c r="N6" s="27">
        <v>34515214</v>
      </c>
    </row>
    <row r="7" spans="1:17" ht="26.25" x14ac:dyDescent="0.25">
      <c r="A7" s="30" t="s">
        <v>274</v>
      </c>
      <c r="B7" s="279">
        <f t="shared" ref="B7:M7" si="1">31474348/12+7290</f>
        <v>2630152.3333333335</v>
      </c>
      <c r="C7" s="279">
        <f t="shared" si="1"/>
        <v>2630152.3333333335</v>
      </c>
      <c r="D7" s="279">
        <f t="shared" si="1"/>
        <v>2630152.3333333335</v>
      </c>
      <c r="E7" s="279">
        <f t="shared" si="1"/>
        <v>2630152.3333333335</v>
      </c>
      <c r="F7" s="279">
        <f t="shared" si="1"/>
        <v>2630152.3333333335</v>
      </c>
      <c r="G7" s="279">
        <f t="shared" si="1"/>
        <v>2630152.3333333335</v>
      </c>
      <c r="H7" s="279">
        <f t="shared" si="1"/>
        <v>2630152.3333333335</v>
      </c>
      <c r="I7" s="279">
        <f t="shared" si="1"/>
        <v>2630152.3333333335</v>
      </c>
      <c r="J7" s="279">
        <f t="shared" si="1"/>
        <v>2630152.3333333335</v>
      </c>
      <c r="K7" s="279">
        <f t="shared" si="1"/>
        <v>2630152.3333333335</v>
      </c>
      <c r="L7" s="279">
        <f t="shared" si="1"/>
        <v>2630152.3333333335</v>
      </c>
      <c r="M7" s="279">
        <f t="shared" si="1"/>
        <v>2630152.3333333335</v>
      </c>
      <c r="N7" s="27">
        <f>SUM(B7:M7)</f>
        <v>31561827.999999996</v>
      </c>
      <c r="O7" s="11">
        <f>'1.tábla '!C6</f>
        <v>31561828</v>
      </c>
      <c r="P7" s="11">
        <f>N7-O7</f>
        <v>0</v>
      </c>
      <c r="Q7" s="11"/>
    </row>
    <row r="8" spans="1:17" ht="15.75" x14ac:dyDescent="0.25">
      <c r="A8" s="30" t="s">
        <v>158</v>
      </c>
      <c r="B8" s="275">
        <f>3140000/12</f>
        <v>261666.66666666666</v>
      </c>
      <c r="C8" s="275">
        <f t="shared" ref="C8:M8" si="2">3140000/12</f>
        <v>261666.66666666666</v>
      </c>
      <c r="D8" s="275">
        <f t="shared" si="2"/>
        <v>261666.66666666666</v>
      </c>
      <c r="E8" s="275">
        <f t="shared" si="2"/>
        <v>261666.66666666666</v>
      </c>
      <c r="F8" s="275">
        <f t="shared" si="2"/>
        <v>261666.66666666666</v>
      </c>
      <c r="G8" s="275">
        <f>3140000/12+150000</f>
        <v>411666.66666666663</v>
      </c>
      <c r="H8" s="275">
        <f t="shared" si="2"/>
        <v>261666.66666666666</v>
      </c>
      <c r="I8" s="275">
        <f t="shared" si="2"/>
        <v>261666.66666666666</v>
      </c>
      <c r="J8" s="275">
        <f t="shared" si="2"/>
        <v>261666.66666666666</v>
      </c>
      <c r="K8" s="275">
        <f t="shared" si="2"/>
        <v>261666.66666666666</v>
      </c>
      <c r="L8" s="275">
        <f t="shared" si="2"/>
        <v>261666.66666666666</v>
      </c>
      <c r="M8" s="275">
        <f t="shared" si="2"/>
        <v>261666.66666666666</v>
      </c>
      <c r="N8" s="27">
        <f t="shared" ref="N8:N18" si="3">SUM(B8:M8)</f>
        <v>3289999.9999999995</v>
      </c>
      <c r="O8" s="20">
        <f>'1.tábla '!C9</f>
        <v>3290000</v>
      </c>
      <c r="P8" s="11">
        <f t="shared" ref="P8:P34" si="4">N8-O8</f>
        <v>0</v>
      </c>
      <c r="Q8" s="11"/>
    </row>
    <row r="9" spans="1:17" ht="15.75" x14ac:dyDescent="0.25">
      <c r="A9" s="30" t="s">
        <v>202</v>
      </c>
      <c r="B9" s="275">
        <f>1833000/10</f>
        <v>183300</v>
      </c>
      <c r="C9" s="275">
        <f>1833000/10</f>
        <v>183300</v>
      </c>
      <c r="D9" s="275">
        <f>1833000/10</f>
        <v>183300</v>
      </c>
      <c r="E9" s="275">
        <f>1833000/10</f>
        <v>183300</v>
      </c>
      <c r="F9" s="275">
        <v>5000000</v>
      </c>
      <c r="G9" s="275">
        <f>1833000/10</f>
        <v>183300</v>
      </c>
      <c r="H9" s="275">
        <f>1833000/10</f>
        <v>183300</v>
      </c>
      <c r="I9" s="275">
        <f>1833000/10</f>
        <v>183300</v>
      </c>
      <c r="J9" s="275">
        <v>4500000</v>
      </c>
      <c r="K9" s="275">
        <f>1833000/10</f>
        <v>183300</v>
      </c>
      <c r="L9" s="275">
        <f>1833000/10</f>
        <v>183300</v>
      </c>
      <c r="M9" s="275">
        <f>1833000/10</f>
        <v>183300</v>
      </c>
      <c r="N9" s="27">
        <f t="shared" si="3"/>
        <v>11333000</v>
      </c>
      <c r="O9" s="20">
        <f>'1.tábla '!C8</f>
        <v>11333000</v>
      </c>
      <c r="P9" s="11">
        <f t="shared" si="4"/>
        <v>0</v>
      </c>
      <c r="Q9" s="11"/>
    </row>
    <row r="10" spans="1:17" ht="26.25" x14ac:dyDescent="0.25">
      <c r="A10" s="30" t="s">
        <v>275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">
        <f t="shared" si="3"/>
        <v>0</v>
      </c>
      <c r="O10" s="11">
        <f>'1.tábla '!C11</f>
        <v>0</v>
      </c>
      <c r="P10" s="11">
        <f t="shared" si="4"/>
        <v>0</v>
      </c>
      <c r="Q10" s="11"/>
    </row>
    <row r="11" spans="1:17" ht="15.75" x14ac:dyDescent="0.25">
      <c r="A11" s="32" t="s">
        <v>203</v>
      </c>
      <c r="B11" s="280">
        <f t="shared" ref="B11:M11" si="5">SUM(B7:B10)</f>
        <v>3075119</v>
      </c>
      <c r="C11" s="280">
        <f t="shared" si="5"/>
        <v>3075119</v>
      </c>
      <c r="D11" s="280">
        <f t="shared" si="5"/>
        <v>3075119</v>
      </c>
      <c r="E11" s="280">
        <f t="shared" si="5"/>
        <v>3075119</v>
      </c>
      <c r="F11" s="280">
        <f t="shared" si="5"/>
        <v>7891819</v>
      </c>
      <c r="G11" s="280">
        <f t="shared" si="5"/>
        <v>3225119</v>
      </c>
      <c r="H11" s="280">
        <f t="shared" si="5"/>
        <v>3075119</v>
      </c>
      <c r="I11" s="280">
        <f t="shared" si="5"/>
        <v>3075119</v>
      </c>
      <c r="J11" s="280">
        <f t="shared" si="5"/>
        <v>7391819</v>
      </c>
      <c r="K11" s="280">
        <f t="shared" si="5"/>
        <v>3075119</v>
      </c>
      <c r="L11" s="280">
        <f t="shared" si="5"/>
        <v>3075119</v>
      </c>
      <c r="M11" s="280">
        <f t="shared" si="5"/>
        <v>3075119</v>
      </c>
      <c r="N11" s="27">
        <f t="shared" si="3"/>
        <v>46184828</v>
      </c>
      <c r="O11" s="3">
        <f>SUM(O7:O10)</f>
        <v>46184828</v>
      </c>
      <c r="P11" s="11">
        <f t="shared" si="4"/>
        <v>0</v>
      </c>
      <c r="Q11" s="11"/>
    </row>
    <row r="12" spans="1:17" ht="26.25" x14ac:dyDescent="0.25">
      <c r="A12" s="30" t="s">
        <v>276</v>
      </c>
      <c r="B12" s="275"/>
      <c r="C12" s="275"/>
      <c r="D12" s="275"/>
      <c r="E12" s="275"/>
      <c r="F12" s="275"/>
      <c r="G12" s="275">
        <v>5000000</v>
      </c>
      <c r="H12" s="275"/>
      <c r="I12" s="275"/>
      <c r="J12" s="275"/>
      <c r="K12" s="275">
        <v>8956854</v>
      </c>
      <c r="L12" s="275"/>
      <c r="M12" s="275"/>
      <c r="N12" s="27">
        <f t="shared" si="3"/>
        <v>13956854</v>
      </c>
      <c r="O12" s="11">
        <f>'1.tábla '!C7</f>
        <v>13956854</v>
      </c>
      <c r="P12" s="11">
        <f t="shared" si="4"/>
        <v>0</v>
      </c>
      <c r="Q12" s="11"/>
    </row>
    <row r="13" spans="1:17" ht="15.75" x14ac:dyDescent="0.25">
      <c r="A13" s="30" t="s">
        <v>277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">
        <f t="shared" si="3"/>
        <v>0</v>
      </c>
      <c r="O13" s="11">
        <f>'1.tábla '!C12</f>
        <v>0</v>
      </c>
      <c r="P13" s="11">
        <f t="shared" si="4"/>
        <v>0</v>
      </c>
      <c r="Q13" s="11"/>
    </row>
    <row r="14" spans="1:17" ht="26.25" x14ac:dyDescent="0.25">
      <c r="A14" s="30" t="s">
        <v>278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">
        <f t="shared" si="3"/>
        <v>0</v>
      </c>
      <c r="O14" s="11">
        <v>0</v>
      </c>
      <c r="P14" s="11">
        <f t="shared" si="4"/>
        <v>0</v>
      </c>
      <c r="Q14" s="11"/>
    </row>
    <row r="15" spans="1:17" ht="15.75" x14ac:dyDescent="0.25">
      <c r="A15" s="32" t="s">
        <v>204</v>
      </c>
      <c r="B15" s="280">
        <f t="shared" ref="B15:M15" si="6">SUM(B12:B14)</f>
        <v>0</v>
      </c>
      <c r="C15" s="280">
        <f t="shared" si="6"/>
        <v>0</v>
      </c>
      <c r="D15" s="280">
        <f t="shared" si="6"/>
        <v>0</v>
      </c>
      <c r="E15" s="280">
        <f t="shared" si="6"/>
        <v>0</v>
      </c>
      <c r="F15" s="280">
        <f t="shared" si="6"/>
        <v>0</v>
      </c>
      <c r="G15" s="280">
        <f t="shared" si="6"/>
        <v>5000000</v>
      </c>
      <c r="H15" s="280">
        <f t="shared" si="6"/>
        <v>0</v>
      </c>
      <c r="I15" s="280">
        <f t="shared" si="6"/>
        <v>0</v>
      </c>
      <c r="J15" s="280">
        <f t="shared" si="6"/>
        <v>0</v>
      </c>
      <c r="K15" s="280">
        <f t="shared" si="6"/>
        <v>8956854</v>
      </c>
      <c r="L15" s="280">
        <f t="shared" si="6"/>
        <v>0</v>
      </c>
      <c r="M15" s="280">
        <f t="shared" si="6"/>
        <v>0</v>
      </c>
      <c r="N15" s="27">
        <f t="shared" si="3"/>
        <v>13956854</v>
      </c>
      <c r="O15" s="21">
        <f>SUM(O12:O14)</f>
        <v>13956854</v>
      </c>
      <c r="P15" s="11">
        <f t="shared" si="4"/>
        <v>0</v>
      </c>
      <c r="Q15" s="11"/>
    </row>
    <row r="16" spans="1:17" s="2" customFormat="1" x14ac:dyDescent="0.2">
      <c r="A16" s="31" t="s">
        <v>11</v>
      </c>
      <c r="B16" s="15">
        <f t="shared" ref="B16:M16" si="7">SUM(B11,B15)</f>
        <v>3075119</v>
      </c>
      <c r="C16" s="15">
        <f t="shared" si="7"/>
        <v>3075119</v>
      </c>
      <c r="D16" s="15">
        <f t="shared" si="7"/>
        <v>3075119</v>
      </c>
      <c r="E16" s="15">
        <f t="shared" si="7"/>
        <v>3075119</v>
      </c>
      <c r="F16" s="15">
        <f t="shared" si="7"/>
        <v>7891819</v>
      </c>
      <c r="G16" s="15">
        <f t="shared" si="7"/>
        <v>8225119</v>
      </c>
      <c r="H16" s="15">
        <f t="shared" si="7"/>
        <v>3075119</v>
      </c>
      <c r="I16" s="15">
        <f t="shared" si="7"/>
        <v>3075119</v>
      </c>
      <c r="J16" s="15">
        <f t="shared" si="7"/>
        <v>7391819</v>
      </c>
      <c r="K16" s="15">
        <f t="shared" si="7"/>
        <v>12031973</v>
      </c>
      <c r="L16" s="15">
        <f t="shared" si="7"/>
        <v>3075119</v>
      </c>
      <c r="M16" s="15">
        <f t="shared" si="7"/>
        <v>3075119</v>
      </c>
      <c r="N16" s="27">
        <f t="shared" si="3"/>
        <v>60141682</v>
      </c>
      <c r="O16" s="3">
        <f>O11+O15</f>
        <v>60141682</v>
      </c>
      <c r="P16" s="11">
        <f t="shared" si="4"/>
        <v>0</v>
      </c>
      <c r="Q16" s="11"/>
    </row>
    <row r="17" spans="1:17" ht="39" x14ac:dyDescent="0.25">
      <c r="A17" s="30" t="s">
        <v>286</v>
      </c>
      <c r="B17" s="275">
        <f>907476/12</f>
        <v>75623</v>
      </c>
      <c r="C17" s="275">
        <f t="shared" ref="C17:M17" si="8">907476/12</f>
        <v>75623</v>
      </c>
      <c r="D17" s="275">
        <f t="shared" si="8"/>
        <v>75623</v>
      </c>
      <c r="E17" s="275">
        <f t="shared" si="8"/>
        <v>75623</v>
      </c>
      <c r="F17" s="275">
        <f t="shared" si="8"/>
        <v>75623</v>
      </c>
      <c r="G17" s="275">
        <f t="shared" si="8"/>
        <v>75623</v>
      </c>
      <c r="H17" s="275">
        <f t="shared" si="8"/>
        <v>75623</v>
      </c>
      <c r="I17" s="275">
        <f t="shared" si="8"/>
        <v>75623</v>
      </c>
      <c r="J17" s="275">
        <f t="shared" si="8"/>
        <v>75623</v>
      </c>
      <c r="K17" s="275">
        <f t="shared" si="8"/>
        <v>75623</v>
      </c>
      <c r="L17" s="275">
        <f t="shared" si="8"/>
        <v>75623</v>
      </c>
      <c r="M17" s="275">
        <f t="shared" si="8"/>
        <v>75623</v>
      </c>
      <c r="N17" s="44">
        <f t="shared" si="3"/>
        <v>907476</v>
      </c>
      <c r="O17" s="11">
        <f>'1.tábla '!C15</f>
        <v>907476</v>
      </c>
      <c r="P17" s="11">
        <f t="shared" si="4"/>
        <v>0</v>
      </c>
      <c r="Q17" s="11"/>
    </row>
    <row r="18" spans="1:17" ht="26.25" x14ac:dyDescent="0.25">
      <c r="A18" s="30" t="s">
        <v>279</v>
      </c>
      <c r="B18" s="275">
        <v>28648541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">
        <f t="shared" si="3"/>
        <v>28648541</v>
      </c>
      <c r="O18" s="11">
        <f>'1.tábla '!C14</f>
        <v>28648541</v>
      </c>
      <c r="P18" s="11">
        <f t="shared" si="4"/>
        <v>0</v>
      </c>
      <c r="Q18" s="11"/>
    </row>
    <row r="19" spans="1:17" x14ac:dyDescent="0.2">
      <c r="A19" s="31" t="s">
        <v>14</v>
      </c>
      <c r="B19" s="16">
        <f>SUM(B16:B18)</f>
        <v>31799283</v>
      </c>
      <c r="C19" s="16">
        <f t="shared" ref="C19:M19" si="9">SUM(C16:C18)</f>
        <v>3150742</v>
      </c>
      <c r="D19" s="16">
        <f t="shared" si="9"/>
        <v>3150742</v>
      </c>
      <c r="E19" s="16">
        <f t="shared" si="9"/>
        <v>3150742</v>
      </c>
      <c r="F19" s="16">
        <f t="shared" si="9"/>
        <v>7967442</v>
      </c>
      <c r="G19" s="16">
        <f t="shared" si="9"/>
        <v>8300742</v>
      </c>
      <c r="H19" s="16">
        <f t="shared" si="9"/>
        <v>3150742</v>
      </c>
      <c r="I19" s="16">
        <f t="shared" si="9"/>
        <v>3150742</v>
      </c>
      <c r="J19" s="16">
        <f t="shared" si="9"/>
        <v>7467442</v>
      </c>
      <c r="K19" s="16">
        <f t="shared" si="9"/>
        <v>12107596</v>
      </c>
      <c r="L19" s="16">
        <f t="shared" si="9"/>
        <v>3150742</v>
      </c>
      <c r="M19" s="16">
        <f t="shared" si="9"/>
        <v>3150742</v>
      </c>
      <c r="N19" s="17">
        <f>SUM(N16:N18)</f>
        <v>89697699</v>
      </c>
      <c r="O19" s="3">
        <f>O16+O17+O18</f>
        <v>89697699</v>
      </c>
      <c r="P19" s="11">
        <f t="shared" si="4"/>
        <v>0</v>
      </c>
      <c r="Q19" s="11"/>
    </row>
    <row r="20" spans="1:17" ht="15.75" x14ac:dyDescent="0.25">
      <c r="A20" s="30" t="s">
        <v>280</v>
      </c>
      <c r="B20" s="275">
        <f>12486198/12</f>
        <v>1040516.5</v>
      </c>
      <c r="C20" s="275">
        <f t="shared" ref="C20:M20" si="10">12486198/12</f>
        <v>1040516.5</v>
      </c>
      <c r="D20" s="275">
        <f t="shared" si="10"/>
        <v>1040516.5</v>
      </c>
      <c r="E20" s="275">
        <f t="shared" si="10"/>
        <v>1040516.5</v>
      </c>
      <c r="F20" s="275">
        <f t="shared" si="10"/>
        <v>1040516.5</v>
      </c>
      <c r="G20" s="275">
        <f t="shared" si="10"/>
        <v>1040516.5</v>
      </c>
      <c r="H20" s="275">
        <f t="shared" si="10"/>
        <v>1040516.5</v>
      </c>
      <c r="I20" s="275">
        <f t="shared" si="10"/>
        <v>1040516.5</v>
      </c>
      <c r="J20" s="275">
        <f t="shared" si="10"/>
        <v>1040516.5</v>
      </c>
      <c r="K20" s="275">
        <f t="shared" si="10"/>
        <v>1040516.5</v>
      </c>
      <c r="L20" s="275">
        <f t="shared" si="10"/>
        <v>1040516.5</v>
      </c>
      <c r="M20" s="275">
        <f t="shared" si="10"/>
        <v>1040516.5</v>
      </c>
      <c r="N20" s="18">
        <f>SUM(B20:M20)</f>
        <v>12486198</v>
      </c>
      <c r="O20" s="22">
        <f>'3.tábla '!C6</f>
        <v>12486198</v>
      </c>
      <c r="P20" s="11">
        <f t="shared" si="4"/>
        <v>0</v>
      </c>
      <c r="Q20" s="11"/>
    </row>
    <row r="21" spans="1:17" ht="26.25" x14ac:dyDescent="0.25">
      <c r="A21" s="30" t="s">
        <v>281</v>
      </c>
      <c r="B21" s="275">
        <f>2217871/12</f>
        <v>184822.58333333334</v>
      </c>
      <c r="C21" s="275">
        <f t="shared" ref="C21:M21" si="11">2217871/12</f>
        <v>184822.58333333334</v>
      </c>
      <c r="D21" s="275">
        <f t="shared" si="11"/>
        <v>184822.58333333334</v>
      </c>
      <c r="E21" s="275">
        <f t="shared" si="11"/>
        <v>184822.58333333334</v>
      </c>
      <c r="F21" s="275">
        <f t="shared" si="11"/>
        <v>184822.58333333334</v>
      </c>
      <c r="G21" s="275">
        <f t="shared" si="11"/>
        <v>184822.58333333334</v>
      </c>
      <c r="H21" s="275">
        <f t="shared" si="11"/>
        <v>184822.58333333334</v>
      </c>
      <c r="I21" s="275">
        <f t="shared" si="11"/>
        <v>184822.58333333334</v>
      </c>
      <c r="J21" s="275">
        <f t="shared" si="11"/>
        <v>184822.58333333334</v>
      </c>
      <c r="K21" s="275">
        <f t="shared" si="11"/>
        <v>184822.58333333334</v>
      </c>
      <c r="L21" s="275">
        <f t="shared" si="11"/>
        <v>184822.58333333334</v>
      </c>
      <c r="M21" s="275">
        <f t="shared" si="11"/>
        <v>184822.58333333334</v>
      </c>
      <c r="N21" s="18">
        <f t="shared" ref="N21:N33" si="12">SUM(B21:M21)</f>
        <v>2217870.9999999995</v>
      </c>
      <c r="O21" s="22">
        <f>'3.tábla '!C7</f>
        <v>2217871</v>
      </c>
      <c r="P21" s="11">
        <f t="shared" si="4"/>
        <v>0</v>
      </c>
      <c r="Q21" s="11"/>
    </row>
    <row r="22" spans="1:17" ht="15.75" x14ac:dyDescent="0.25">
      <c r="A22" s="30" t="s">
        <v>282</v>
      </c>
      <c r="B22" s="275">
        <f>17182982/12</f>
        <v>1431915.1666666667</v>
      </c>
      <c r="C22" s="275">
        <f t="shared" ref="C22:M22" si="13">17182982/12</f>
        <v>1431915.1666666667</v>
      </c>
      <c r="D22" s="275">
        <f t="shared" si="13"/>
        <v>1431915.1666666667</v>
      </c>
      <c r="E22" s="275">
        <f t="shared" si="13"/>
        <v>1431915.1666666667</v>
      </c>
      <c r="F22" s="275">
        <f t="shared" si="13"/>
        <v>1431915.1666666667</v>
      </c>
      <c r="G22" s="275">
        <f t="shared" si="13"/>
        <v>1431915.1666666667</v>
      </c>
      <c r="H22" s="275">
        <f>17182982/12+31890</f>
        <v>1463805.1666666667</v>
      </c>
      <c r="I22" s="275">
        <f t="shared" si="13"/>
        <v>1431915.1666666667</v>
      </c>
      <c r="J22" s="275">
        <f t="shared" si="13"/>
        <v>1431915.1666666667</v>
      </c>
      <c r="K22" s="275">
        <f t="shared" si="13"/>
        <v>1431915.1666666667</v>
      </c>
      <c r="L22" s="275">
        <f t="shared" si="13"/>
        <v>1431915.1666666667</v>
      </c>
      <c r="M22" s="275">
        <f t="shared" si="13"/>
        <v>1431915.1666666667</v>
      </c>
      <c r="N22" s="18">
        <f t="shared" si="12"/>
        <v>17214871.999999996</v>
      </c>
      <c r="O22" s="22">
        <f>'3.tábla '!C8</f>
        <v>17214872</v>
      </c>
      <c r="P22" s="11">
        <f t="shared" si="4"/>
        <v>0</v>
      </c>
      <c r="Q22" s="11"/>
    </row>
    <row r="23" spans="1:17" ht="15.75" x14ac:dyDescent="0.25">
      <c r="A23" s="30" t="s">
        <v>205</v>
      </c>
      <c r="B23" s="275">
        <f>3795000/12</f>
        <v>316250</v>
      </c>
      <c r="C23" s="275">
        <f t="shared" ref="C23:M23" si="14">3795000/12</f>
        <v>316250</v>
      </c>
      <c r="D23" s="275">
        <f t="shared" si="14"/>
        <v>316250</v>
      </c>
      <c r="E23" s="275">
        <f t="shared" si="14"/>
        <v>316250</v>
      </c>
      <c r="F23" s="275">
        <f t="shared" si="14"/>
        <v>316250</v>
      </c>
      <c r="G23" s="275">
        <f t="shared" si="14"/>
        <v>316250</v>
      </c>
      <c r="H23" s="275">
        <f t="shared" si="14"/>
        <v>316250</v>
      </c>
      <c r="I23" s="275">
        <f t="shared" si="14"/>
        <v>316250</v>
      </c>
      <c r="J23" s="275">
        <f t="shared" si="14"/>
        <v>316250</v>
      </c>
      <c r="K23" s="275">
        <f t="shared" si="14"/>
        <v>316250</v>
      </c>
      <c r="L23" s="275">
        <f t="shared" si="14"/>
        <v>316250</v>
      </c>
      <c r="M23" s="275">
        <f t="shared" si="14"/>
        <v>316250</v>
      </c>
      <c r="N23" s="18">
        <f t="shared" si="12"/>
        <v>3795000</v>
      </c>
      <c r="O23" s="22">
        <f>'3.tábla '!C26</f>
        <v>3795000</v>
      </c>
      <c r="P23" s="11">
        <f t="shared" si="4"/>
        <v>0</v>
      </c>
      <c r="Q23" s="11"/>
    </row>
    <row r="24" spans="1:17" ht="26.25" x14ac:dyDescent="0.25">
      <c r="A24" s="30" t="s">
        <v>283</v>
      </c>
      <c r="B24" s="275"/>
      <c r="C24" s="275"/>
      <c r="D24" s="275"/>
      <c r="E24" s="275">
        <v>500000</v>
      </c>
      <c r="F24" s="275">
        <v>10000</v>
      </c>
      <c r="G24" s="275">
        <v>100000</v>
      </c>
      <c r="H24" s="275">
        <v>0</v>
      </c>
      <c r="I24" s="275">
        <v>150000</v>
      </c>
      <c r="J24" s="275">
        <v>0</v>
      </c>
      <c r="K24" s="275"/>
      <c r="L24" s="275"/>
      <c r="M24" s="275">
        <v>0</v>
      </c>
      <c r="N24" s="18">
        <f t="shared" si="12"/>
        <v>760000</v>
      </c>
      <c r="O24" s="22">
        <f>'4.tábla'!C9</f>
        <v>760000</v>
      </c>
      <c r="P24" s="11">
        <f t="shared" si="4"/>
        <v>0</v>
      </c>
      <c r="Q24" s="11"/>
    </row>
    <row r="25" spans="1:17" ht="26.25" x14ac:dyDescent="0.25">
      <c r="A25" s="30" t="s">
        <v>284</v>
      </c>
      <c r="B25" s="275">
        <f>12335342/12</f>
        <v>1027945.1666666666</v>
      </c>
      <c r="C25" s="275">
        <f t="shared" ref="C25:M25" si="15">12335342/12</f>
        <v>1027945.1666666666</v>
      </c>
      <c r="D25" s="275">
        <f t="shared" si="15"/>
        <v>1027945.1666666666</v>
      </c>
      <c r="E25" s="275">
        <f t="shared" si="15"/>
        <v>1027945.1666666666</v>
      </c>
      <c r="F25" s="275">
        <f t="shared" si="15"/>
        <v>1027945.1666666666</v>
      </c>
      <c r="G25" s="275">
        <f t="shared" si="15"/>
        <v>1027945.1666666666</v>
      </c>
      <c r="H25" s="275">
        <f t="shared" si="15"/>
        <v>1027945.1666666666</v>
      </c>
      <c r="I25" s="275">
        <f t="shared" si="15"/>
        <v>1027945.1666666666</v>
      </c>
      <c r="J25" s="275">
        <f t="shared" si="15"/>
        <v>1027945.1666666666</v>
      </c>
      <c r="K25" s="275">
        <f t="shared" si="15"/>
        <v>1027945.1666666666</v>
      </c>
      <c r="L25" s="275">
        <f t="shared" si="15"/>
        <v>1027945.1666666666</v>
      </c>
      <c r="M25" s="275">
        <f t="shared" si="15"/>
        <v>1027945.1666666666</v>
      </c>
      <c r="N25" s="18">
        <f t="shared" si="12"/>
        <v>12335341.999999998</v>
      </c>
      <c r="O25" s="22">
        <f>'4.tábla'!C3</f>
        <v>12335342</v>
      </c>
      <c r="P25" s="11">
        <f t="shared" si="4"/>
        <v>0</v>
      </c>
      <c r="Q25" s="11"/>
    </row>
    <row r="26" spans="1:17" ht="15.75" x14ac:dyDescent="0.25">
      <c r="A26" s="30" t="s">
        <v>17</v>
      </c>
      <c r="B26" s="275">
        <v>13264590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18">
        <f t="shared" si="12"/>
        <v>13264590</v>
      </c>
      <c r="O26" s="22">
        <f>'1.tábla '!C26</f>
        <v>13264590</v>
      </c>
      <c r="P26" s="11">
        <f t="shared" si="4"/>
        <v>0</v>
      </c>
      <c r="Q26" s="11"/>
    </row>
    <row r="27" spans="1:17" ht="15.75" x14ac:dyDescent="0.25">
      <c r="A27" s="32" t="s">
        <v>206</v>
      </c>
      <c r="B27" s="280">
        <f>SUM(B20:B26)</f>
        <v>17266039.416666668</v>
      </c>
      <c r="C27" s="280">
        <f t="shared" ref="C27:M27" si="16">SUM(C20:C26)</f>
        <v>4001449.4166666665</v>
      </c>
      <c r="D27" s="280">
        <f t="shared" si="16"/>
        <v>4001449.4166666665</v>
      </c>
      <c r="E27" s="280">
        <f t="shared" si="16"/>
        <v>4501449.416666667</v>
      </c>
      <c r="F27" s="280">
        <f t="shared" si="16"/>
        <v>4011449.4166666665</v>
      </c>
      <c r="G27" s="280">
        <f t="shared" si="16"/>
        <v>4101449.4166666665</v>
      </c>
      <c r="H27" s="280">
        <f t="shared" si="16"/>
        <v>4033339.4166666665</v>
      </c>
      <c r="I27" s="280">
        <f t="shared" si="16"/>
        <v>4151449.4166666665</v>
      </c>
      <c r="J27" s="280">
        <f t="shared" si="16"/>
        <v>4001449.4166666665</v>
      </c>
      <c r="K27" s="280">
        <f t="shared" si="16"/>
        <v>4001449.4166666665</v>
      </c>
      <c r="L27" s="280">
        <f t="shared" si="16"/>
        <v>4001449.4166666665</v>
      </c>
      <c r="M27" s="280">
        <f t="shared" si="16"/>
        <v>4001449.4166666665</v>
      </c>
      <c r="N27" s="18">
        <f>SUM(B27:M27)</f>
        <v>62073872.999999985</v>
      </c>
      <c r="O27" s="3">
        <f>SUM(O20:O26)</f>
        <v>62073873</v>
      </c>
      <c r="P27" s="11">
        <f t="shared" si="4"/>
        <v>0</v>
      </c>
      <c r="Q27" s="11"/>
    </row>
    <row r="28" spans="1:17" ht="15.75" x14ac:dyDescent="0.25">
      <c r="A28" s="30" t="s">
        <v>207</v>
      </c>
      <c r="B28" s="275">
        <v>2000000</v>
      </c>
      <c r="C28" s="275">
        <v>1341120</v>
      </c>
      <c r="D28" s="275">
        <v>50000</v>
      </c>
      <c r="E28" s="275"/>
      <c r="F28" s="275">
        <v>3228076</v>
      </c>
      <c r="G28" s="275">
        <v>98203</v>
      </c>
      <c r="H28" s="275"/>
      <c r="I28" s="275"/>
      <c r="J28" s="275"/>
      <c r="K28" s="275"/>
      <c r="L28" s="275">
        <v>2500000</v>
      </c>
      <c r="M28" s="275"/>
      <c r="N28" s="18">
        <f>SUM(B28:M28)</f>
        <v>9217399</v>
      </c>
      <c r="O28" s="22">
        <f>'5.tábla'!C3</f>
        <v>9217399</v>
      </c>
      <c r="P28" s="11">
        <f t="shared" si="4"/>
        <v>0</v>
      </c>
      <c r="Q28" s="11"/>
    </row>
    <row r="29" spans="1:17" ht="15.75" x14ac:dyDescent="0.25">
      <c r="A29" s="30" t="s">
        <v>208</v>
      </c>
      <c r="B29" s="275"/>
      <c r="C29" s="275"/>
      <c r="D29" s="275">
        <v>314112</v>
      </c>
      <c r="E29" s="275">
        <v>4034832</v>
      </c>
      <c r="F29" s="275"/>
      <c r="G29" s="275">
        <v>967931</v>
      </c>
      <c r="H29" s="275"/>
      <c r="I29" s="275"/>
      <c r="J29" s="275"/>
      <c r="K29" s="275">
        <v>10548636</v>
      </c>
      <c r="L29" s="275"/>
      <c r="M29" s="275"/>
      <c r="N29" s="18">
        <f t="shared" si="12"/>
        <v>15865511</v>
      </c>
      <c r="O29" s="22">
        <f>'5.tábla'!C22</f>
        <v>15865511</v>
      </c>
      <c r="P29" s="11">
        <f t="shared" si="4"/>
        <v>0</v>
      </c>
      <c r="Q29" s="11"/>
    </row>
    <row r="30" spans="1:17" ht="15.75" x14ac:dyDescent="0.25">
      <c r="A30" s="30" t="s">
        <v>266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>
        <v>30885</v>
      </c>
      <c r="L30" s="275"/>
      <c r="M30" s="275"/>
      <c r="N30" s="18">
        <f t="shared" si="12"/>
        <v>30885</v>
      </c>
      <c r="O30" s="22">
        <f>'5.tábla'!C32</f>
        <v>30885</v>
      </c>
      <c r="P30" s="11">
        <f t="shared" si="4"/>
        <v>0</v>
      </c>
      <c r="Q30" s="11"/>
    </row>
    <row r="31" spans="1:17" ht="26.25" x14ac:dyDescent="0.25">
      <c r="A31" s="32" t="s">
        <v>209</v>
      </c>
      <c r="B31" s="280">
        <f>B28+B29+B30</f>
        <v>2000000</v>
      </c>
      <c r="C31" s="280">
        <f t="shared" ref="C31:M31" si="17">SUM(C28:C30)</f>
        <v>1341120</v>
      </c>
      <c r="D31" s="280">
        <f t="shared" si="17"/>
        <v>364112</v>
      </c>
      <c r="E31" s="280">
        <f t="shared" si="17"/>
        <v>4034832</v>
      </c>
      <c r="F31" s="280">
        <f t="shared" si="17"/>
        <v>3228076</v>
      </c>
      <c r="G31" s="280">
        <f t="shared" si="17"/>
        <v>1066134</v>
      </c>
      <c r="H31" s="280">
        <f t="shared" si="17"/>
        <v>0</v>
      </c>
      <c r="I31" s="280">
        <f t="shared" si="17"/>
        <v>0</v>
      </c>
      <c r="J31" s="280">
        <f t="shared" si="17"/>
        <v>0</v>
      </c>
      <c r="K31" s="280">
        <f t="shared" si="17"/>
        <v>10579521</v>
      </c>
      <c r="L31" s="280">
        <f t="shared" si="17"/>
        <v>2500000</v>
      </c>
      <c r="M31" s="280">
        <f t="shared" si="17"/>
        <v>0</v>
      </c>
      <c r="N31" s="18">
        <f t="shared" si="12"/>
        <v>25113795</v>
      </c>
      <c r="O31" s="3">
        <f>SUM(O28:O30)</f>
        <v>25113795</v>
      </c>
      <c r="P31" s="11">
        <f t="shared" si="4"/>
        <v>0</v>
      </c>
      <c r="Q31" s="11"/>
    </row>
    <row r="32" spans="1:17" x14ac:dyDescent="0.2">
      <c r="A32" s="31" t="s">
        <v>20</v>
      </c>
      <c r="B32" s="15">
        <f>SUM(B31,B27)</f>
        <v>19266039.416666668</v>
      </c>
      <c r="C32" s="15">
        <f t="shared" ref="C32:M32" si="18">SUM(C31,C27)</f>
        <v>5342569.416666666</v>
      </c>
      <c r="D32" s="15">
        <f t="shared" si="18"/>
        <v>4365561.416666666</v>
      </c>
      <c r="E32" s="15">
        <f t="shared" si="18"/>
        <v>8536281.4166666679</v>
      </c>
      <c r="F32" s="15">
        <f t="shared" si="18"/>
        <v>7239525.416666666</v>
      </c>
      <c r="G32" s="15">
        <f t="shared" si="18"/>
        <v>5167583.416666666</v>
      </c>
      <c r="H32" s="15">
        <f t="shared" si="18"/>
        <v>4033339.4166666665</v>
      </c>
      <c r="I32" s="15">
        <f t="shared" si="18"/>
        <v>4151449.4166666665</v>
      </c>
      <c r="J32" s="15">
        <f t="shared" si="18"/>
        <v>4001449.4166666665</v>
      </c>
      <c r="K32" s="15">
        <f t="shared" si="18"/>
        <v>14580970.416666666</v>
      </c>
      <c r="L32" s="15">
        <f t="shared" si="18"/>
        <v>6501449.416666666</v>
      </c>
      <c r="M32" s="15">
        <f t="shared" si="18"/>
        <v>4001449.4166666665</v>
      </c>
      <c r="N32" s="18">
        <f>SUM(B32:M32)</f>
        <v>87187668</v>
      </c>
      <c r="O32" s="3">
        <f>O27+O31</f>
        <v>87187668</v>
      </c>
      <c r="P32" s="11">
        <f t="shared" si="4"/>
        <v>0</v>
      </c>
      <c r="Q32" s="11"/>
    </row>
    <row r="33" spans="1:17" ht="39" x14ac:dyDescent="0.25">
      <c r="A33" s="31" t="s">
        <v>210</v>
      </c>
      <c r="B33" s="276">
        <f>988057+109981</f>
        <v>1098038</v>
      </c>
      <c r="C33" s="276">
        <f>329943/3</f>
        <v>109981</v>
      </c>
      <c r="D33" s="276">
        <f>329943/3</f>
        <v>109981</v>
      </c>
      <c r="E33" s="276"/>
      <c r="F33" s="276"/>
      <c r="G33" s="276"/>
      <c r="H33" s="276">
        <v>1081591</v>
      </c>
      <c r="I33" s="276"/>
      <c r="J33" s="276"/>
      <c r="K33" s="276"/>
      <c r="L33" s="276"/>
      <c r="M33" s="276"/>
      <c r="N33" s="18">
        <f t="shared" si="12"/>
        <v>2399591</v>
      </c>
      <c r="O33" s="22">
        <f>'5.tábla'!C34</f>
        <v>2399591</v>
      </c>
      <c r="P33" s="11">
        <f t="shared" si="4"/>
        <v>0</v>
      </c>
      <c r="Q33" s="11"/>
    </row>
    <row r="34" spans="1:17" x14ac:dyDescent="0.2">
      <c r="A34" s="31" t="s">
        <v>22</v>
      </c>
      <c r="B34" s="15">
        <f>SUM(B32:B33)</f>
        <v>20364077.416666668</v>
      </c>
      <c r="C34" s="15">
        <f t="shared" ref="C34:M34" si="19">SUM(C32:C33)</f>
        <v>5452550.416666666</v>
      </c>
      <c r="D34" s="15">
        <f t="shared" si="19"/>
        <v>4475542.416666666</v>
      </c>
      <c r="E34" s="15">
        <f t="shared" si="19"/>
        <v>8536281.4166666679</v>
      </c>
      <c r="F34" s="15">
        <f t="shared" si="19"/>
        <v>7239525.416666666</v>
      </c>
      <c r="G34" s="15">
        <f t="shared" si="19"/>
        <v>5167583.416666666</v>
      </c>
      <c r="H34" s="15">
        <f t="shared" si="19"/>
        <v>5114930.416666666</v>
      </c>
      <c r="I34" s="15">
        <f t="shared" si="19"/>
        <v>4151449.4166666665</v>
      </c>
      <c r="J34" s="15">
        <f t="shared" si="19"/>
        <v>4001449.4166666665</v>
      </c>
      <c r="K34" s="15">
        <f t="shared" si="19"/>
        <v>14580970.416666666</v>
      </c>
      <c r="L34" s="15">
        <f t="shared" si="19"/>
        <v>6501449.416666666</v>
      </c>
      <c r="M34" s="15">
        <f t="shared" si="19"/>
        <v>4001449.4166666665</v>
      </c>
      <c r="N34" s="18">
        <f>SUM(B34:M34)</f>
        <v>89587259</v>
      </c>
      <c r="O34" s="3">
        <f>O32+O33</f>
        <v>89587259</v>
      </c>
      <c r="P34" s="11">
        <f t="shared" si="4"/>
        <v>0</v>
      </c>
      <c r="Q34" s="11"/>
    </row>
    <row r="35" spans="1:17" x14ac:dyDescent="0.2">
      <c r="A35" s="31" t="s">
        <v>285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8">
        <f>SUM(B35:M35)</f>
        <v>0</v>
      </c>
    </row>
    <row r="36" spans="1:17" ht="13.5" thickBot="1" x14ac:dyDescent="0.25">
      <c r="A36" s="33" t="s">
        <v>211</v>
      </c>
      <c r="B36" s="19">
        <f>B6+B16+B17-B34</f>
        <v>11462408.583333332</v>
      </c>
      <c r="C36" s="19">
        <f t="shared" ref="C36:N36" si="20">C6+C16+C17-C34</f>
        <v>9160600.166666666</v>
      </c>
      <c r="D36" s="19">
        <f t="shared" si="20"/>
        <v>7835799.75</v>
      </c>
      <c r="E36" s="19">
        <f t="shared" si="20"/>
        <v>2450260.3333333321</v>
      </c>
      <c r="F36" s="19">
        <f t="shared" si="20"/>
        <v>3178176.916666666</v>
      </c>
      <c r="G36" s="19">
        <f t="shared" si="20"/>
        <v>6311335.5</v>
      </c>
      <c r="H36" s="19">
        <f t="shared" si="20"/>
        <v>4347147.083333334</v>
      </c>
      <c r="I36" s="19">
        <f t="shared" si="20"/>
        <v>3346439.6666666674</v>
      </c>
      <c r="J36" s="19">
        <f t="shared" si="20"/>
        <v>6812432.2500000019</v>
      </c>
      <c r="K36" s="19">
        <f t="shared" si="20"/>
        <v>4339057.833333334</v>
      </c>
      <c r="L36" s="19">
        <f t="shared" si="20"/>
        <v>988350.41666666791</v>
      </c>
      <c r="M36" s="19">
        <f t="shared" si="20"/>
        <v>137643.0000000014</v>
      </c>
      <c r="N36" s="28">
        <f t="shared" si="20"/>
        <v>5977113</v>
      </c>
      <c r="O36" s="11"/>
    </row>
    <row r="38" spans="1:17" x14ac:dyDescent="0.2">
      <c r="N38" s="3"/>
    </row>
  </sheetData>
  <mergeCells count="2">
    <mergeCell ref="M2:N2"/>
    <mergeCell ref="A3:N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Header>&amp;C&amp;"Times New Roman,Normál"&amp;12 8. melléklet
Az önkormányzat 2018. évi költségvetéséről szóló 3/2019. (III.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8</vt:i4>
      </vt:variant>
    </vt:vector>
  </HeadingPairs>
  <TitlesOfParts>
    <vt:vector size="17" baseType="lpstr">
      <vt:lpstr>1.tábla </vt:lpstr>
      <vt:lpstr>2.tábla</vt:lpstr>
      <vt:lpstr>2a. tábla</vt:lpstr>
      <vt:lpstr>3.tábla </vt:lpstr>
      <vt:lpstr>4.tábla</vt:lpstr>
      <vt:lpstr>5.tábla</vt:lpstr>
      <vt:lpstr>6.tábla </vt:lpstr>
      <vt:lpstr>7.tábla</vt:lpstr>
      <vt:lpstr>8.tábla</vt:lpstr>
      <vt:lpstr>'2.tábla'!Nyomtatási_cím</vt:lpstr>
      <vt:lpstr>'1.tábla '!Nyomtatási_terület</vt:lpstr>
      <vt:lpstr>'2.tábla'!Nyomtatási_terület</vt:lpstr>
      <vt:lpstr>'3.tábla '!Nyomtatási_terület</vt:lpstr>
      <vt:lpstr>'5.tábla'!Nyomtatási_terület</vt:lpstr>
      <vt:lpstr>'6.tábla '!Nyomtatási_terület</vt:lpstr>
      <vt:lpstr>'7.tábla'!Nyomtatási_terület</vt:lpstr>
      <vt:lpstr>'8.tábla'!Nyomtatási_terület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Répásy Ildikó</dc:creator>
  <cp:lastModifiedBy>Frits Ivett</cp:lastModifiedBy>
  <cp:lastPrinted>2019-03-07T08:57:32Z</cp:lastPrinted>
  <dcterms:created xsi:type="dcterms:W3CDTF">2014-05-27T12:51:39Z</dcterms:created>
  <dcterms:modified xsi:type="dcterms:W3CDTF">2019-03-07T10:04:37Z</dcterms:modified>
</cp:coreProperties>
</file>